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tony_upzghcg\Documents\Money &amp; Taxes\Pay Info\Pay Program\Older Files\"/>
    </mc:Choice>
  </mc:AlternateContent>
  <xr:revisionPtr revIDLastSave="0" documentId="13_ncr:1_{A57FC2FB-72C8-4522-A7ED-75B429BDA733}" xr6:coauthVersionLast="44" xr6:coauthVersionMax="44" xr10:uidLastSave="{00000000-0000-0000-0000-000000000000}"/>
  <bookViews>
    <workbookView xWindow="-120" yWindow="-120" windowWidth="20730" windowHeight="11160" tabRatio="590" xr2:uid="{00000000-000D-0000-FFFF-FFFF00000000}"/>
  </bookViews>
  <sheets>
    <sheet name="Start Page" sheetId="11" r:id="rId1"/>
    <sheet name="GS Pay Calculator" sheetId="26" state="hidden" r:id="rId2"/>
    <sheet name="GS Pay - No Locality" sheetId="27" state="hidden" r:id="rId3"/>
    <sheet name="Locality Rates" sheetId="28" state="hidden" r:id="rId4"/>
    <sheet name="Special Rates" sheetId="25" r:id="rId5"/>
    <sheet name="GS Pay Scale" sheetId="7" r:id="rId6"/>
    <sheet name="Shift Firefighters" sheetId="1" r:id="rId7"/>
    <sheet name="Fire Chiefs, Fire Inspectors" sheetId="4" r:id="rId8"/>
  </sheets>
  <definedNames>
    <definedName name="COLA">#REF!</definedName>
    <definedName name="Inspectors">'GS Pay Calculator'!$A$30:$A$31</definedName>
    <definedName name="Locality">'Locality Rates'!$A$2:$A$49</definedName>
    <definedName name="Payperiods">'GS Pay Calculator'!$A$33:$A$34</definedName>
    <definedName name="_xlnm.Print_Area" localSheetId="7">'Fire Chiefs, Fire Inspectors'!$A$1:$M$141</definedName>
    <definedName name="_xlnm.Print_Area" localSheetId="3">'Locality Rates'!$A$1:$C$53</definedName>
    <definedName name="Shift">'GS Pay Calculator'!$A$29:$A$31</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Scale'!$A$22:$K$34</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5" i="11" l="1"/>
  <c r="G13" i="11" s="1"/>
  <c r="C48" i="11"/>
  <c r="G3" i="7" s="1"/>
  <c r="K16" i="26"/>
  <c r="K17" i="26"/>
  <c r="K18" i="26"/>
  <c r="K19" i="26"/>
  <c r="K20" i="26"/>
  <c r="K21" i="26"/>
  <c r="K22" i="26"/>
  <c r="K23" i="26"/>
  <c r="E1" i="1"/>
  <c r="H4" i="1" s="1"/>
  <c r="D1" i="7"/>
  <c r="F5" i="7" s="1"/>
  <c r="A81" i="11"/>
  <c r="D2" i="26"/>
  <c r="A16" i="11"/>
  <c r="G3" i="4"/>
  <c r="M125" i="4"/>
  <c r="L125" i="4"/>
  <c r="K125" i="4"/>
  <c r="J125" i="4"/>
  <c r="I125" i="4"/>
  <c r="H125" i="4"/>
  <c r="G125" i="4"/>
  <c r="F125" i="4"/>
  <c r="E125" i="4"/>
  <c r="D125" i="4"/>
  <c r="M114" i="4"/>
  <c r="L114" i="4"/>
  <c r="K114" i="4"/>
  <c r="J114" i="4"/>
  <c r="I114" i="4"/>
  <c r="H114" i="4"/>
  <c r="G114" i="4"/>
  <c r="F114" i="4"/>
  <c r="E114" i="4"/>
  <c r="D114" i="4"/>
  <c r="M103" i="4"/>
  <c r="L103" i="4"/>
  <c r="K103" i="4"/>
  <c r="J103" i="4"/>
  <c r="I103" i="4"/>
  <c r="H103" i="4"/>
  <c r="G103" i="4"/>
  <c r="F103" i="4"/>
  <c r="E103" i="4"/>
  <c r="D103" i="4"/>
  <c r="M91" i="4"/>
  <c r="L91" i="4"/>
  <c r="K91" i="4"/>
  <c r="J91" i="4"/>
  <c r="I91" i="4"/>
  <c r="H91" i="4"/>
  <c r="G91" i="4"/>
  <c r="F91" i="4"/>
  <c r="E91" i="4"/>
  <c r="D91" i="4"/>
  <c r="M80" i="4"/>
  <c r="L80" i="4"/>
  <c r="K80" i="4"/>
  <c r="J80" i="4"/>
  <c r="I80" i="4"/>
  <c r="H80" i="4"/>
  <c r="G80" i="4"/>
  <c r="F80" i="4"/>
  <c r="E80" i="4"/>
  <c r="D80" i="4"/>
  <c r="M69" i="4"/>
  <c r="L69" i="4"/>
  <c r="K69" i="4"/>
  <c r="J69" i="4"/>
  <c r="I69" i="4"/>
  <c r="H69" i="4"/>
  <c r="G69" i="4"/>
  <c r="F69" i="4"/>
  <c r="E69" i="4"/>
  <c r="D69" i="4"/>
  <c r="M58" i="4"/>
  <c r="L58" i="4"/>
  <c r="K58" i="4"/>
  <c r="J58" i="4"/>
  <c r="I58" i="4"/>
  <c r="H58" i="4"/>
  <c r="G58" i="4"/>
  <c r="F58" i="4"/>
  <c r="E58" i="4"/>
  <c r="D58" i="4"/>
  <c r="M46" i="4"/>
  <c r="L46" i="4"/>
  <c r="K46" i="4"/>
  <c r="J46" i="4"/>
  <c r="I46" i="4"/>
  <c r="H46" i="4"/>
  <c r="G46" i="4"/>
  <c r="F46" i="4"/>
  <c r="E46" i="4"/>
  <c r="D46" i="4"/>
  <c r="M35" i="4"/>
  <c r="L35" i="4"/>
  <c r="K35" i="4"/>
  <c r="J35" i="4"/>
  <c r="I35" i="4"/>
  <c r="H35" i="4"/>
  <c r="G35" i="4"/>
  <c r="F35" i="4"/>
  <c r="E35" i="4"/>
  <c r="D35" i="4"/>
  <c r="E4" i="26"/>
  <c r="M24" i="4"/>
  <c r="L24" i="4"/>
  <c r="K24" i="4"/>
  <c r="J24" i="4"/>
  <c r="I24" i="4"/>
  <c r="H24" i="4"/>
  <c r="G24" i="4"/>
  <c r="F24" i="4"/>
  <c r="E24" i="4"/>
  <c r="D24" i="4"/>
  <c r="M13" i="4"/>
  <c r="L13" i="4"/>
  <c r="K13" i="4"/>
  <c r="J13" i="4"/>
  <c r="I13" i="4"/>
  <c r="H13" i="4"/>
  <c r="G13" i="4"/>
  <c r="F13" i="4"/>
  <c r="E13" i="4"/>
  <c r="D13" i="4"/>
  <c r="F15" i="11"/>
  <c r="G3" i="1" s="1"/>
  <c r="M102" i="1"/>
  <c r="L102" i="1"/>
  <c r="K102" i="1"/>
  <c r="J102" i="1"/>
  <c r="I102" i="1"/>
  <c r="H102" i="1"/>
  <c r="G102" i="1"/>
  <c r="F102" i="1"/>
  <c r="E102" i="1"/>
  <c r="D102" i="1"/>
  <c r="M93" i="1"/>
  <c r="L93" i="1"/>
  <c r="K93" i="1"/>
  <c r="J93" i="1"/>
  <c r="I93" i="1"/>
  <c r="H93" i="1"/>
  <c r="G93" i="1"/>
  <c r="F93" i="1"/>
  <c r="E93" i="1"/>
  <c r="D93" i="1"/>
  <c r="M84" i="1"/>
  <c r="L84" i="1"/>
  <c r="K84" i="1"/>
  <c r="J84" i="1"/>
  <c r="I84" i="1"/>
  <c r="H84" i="1"/>
  <c r="G84" i="1"/>
  <c r="F84" i="1"/>
  <c r="E84" i="1"/>
  <c r="D84" i="1"/>
  <c r="M75" i="1"/>
  <c r="L75" i="1"/>
  <c r="K75" i="1"/>
  <c r="J75" i="1"/>
  <c r="I75" i="1"/>
  <c r="H75" i="1"/>
  <c r="G75" i="1"/>
  <c r="F75" i="1"/>
  <c r="E75" i="1"/>
  <c r="D75" i="1"/>
  <c r="M66" i="1"/>
  <c r="L66" i="1"/>
  <c r="K66" i="1"/>
  <c r="J66" i="1"/>
  <c r="I66" i="1"/>
  <c r="H66" i="1"/>
  <c r="G66" i="1"/>
  <c r="F66" i="1"/>
  <c r="E66" i="1"/>
  <c r="D66" i="1"/>
  <c r="M56" i="1"/>
  <c r="L56" i="1"/>
  <c r="K56" i="1"/>
  <c r="J56" i="1"/>
  <c r="I56" i="1"/>
  <c r="H56" i="1"/>
  <c r="G56" i="1"/>
  <c r="F56" i="1"/>
  <c r="E56" i="1"/>
  <c r="D56" i="1"/>
  <c r="M47" i="1"/>
  <c r="L47" i="1"/>
  <c r="K47" i="1"/>
  <c r="J47" i="1"/>
  <c r="I47" i="1"/>
  <c r="H47" i="1"/>
  <c r="G47" i="1"/>
  <c r="F47" i="1"/>
  <c r="E47" i="1"/>
  <c r="D47" i="1"/>
  <c r="M38" i="1"/>
  <c r="L38" i="1"/>
  <c r="K38" i="1"/>
  <c r="J38" i="1"/>
  <c r="I38" i="1"/>
  <c r="H38" i="1"/>
  <c r="G38" i="1"/>
  <c r="F38" i="1"/>
  <c r="E38" i="1"/>
  <c r="D38" i="1"/>
  <c r="M29" i="1"/>
  <c r="L29" i="1"/>
  <c r="K29" i="1"/>
  <c r="J29" i="1"/>
  <c r="I29" i="1"/>
  <c r="H29" i="1"/>
  <c r="G29" i="1"/>
  <c r="F29" i="1"/>
  <c r="E29" i="1"/>
  <c r="D29" i="1"/>
  <c r="M20" i="1"/>
  <c r="L20" i="1"/>
  <c r="K20" i="1"/>
  <c r="J20" i="1"/>
  <c r="I20" i="1"/>
  <c r="H20" i="1"/>
  <c r="G20" i="1"/>
  <c r="F20" i="1"/>
  <c r="E20" i="1"/>
  <c r="D20" i="1"/>
  <c r="M11" i="1"/>
  <c r="L11" i="1"/>
  <c r="K11" i="1"/>
  <c r="J11" i="1"/>
  <c r="I11" i="1"/>
  <c r="H11" i="1"/>
  <c r="G11" i="1"/>
  <c r="F11" i="1"/>
  <c r="E11" i="1"/>
  <c r="D11" i="1"/>
  <c r="J16" i="11"/>
  <c r="J13" i="11"/>
  <c r="B101" i="4"/>
  <c r="B104" i="4" s="1"/>
  <c r="B33" i="4"/>
  <c r="B36" i="4" s="1"/>
  <c r="J16" i="26"/>
  <c r="J17" i="26" s="1"/>
  <c r="J18" i="26" s="1"/>
  <c r="J19" i="26" s="1"/>
  <c r="J20" i="26" s="1"/>
  <c r="J21" i="26" s="1"/>
  <c r="J22" i="26" s="1"/>
  <c r="J23" i="26" s="1"/>
  <c r="F2" i="26"/>
  <c r="H2" i="26" s="1"/>
  <c r="J2" i="26" s="1"/>
  <c r="B15" i="26" s="1"/>
  <c r="D15" i="26" s="1"/>
  <c r="F15" i="26" s="1"/>
  <c r="H15" i="26" s="1"/>
  <c r="F82" i="11"/>
  <c r="F83" i="11"/>
  <c r="F84" i="11"/>
  <c r="F81" i="11"/>
  <c r="B27" i="1" l="1"/>
  <c r="B30" i="1" s="1"/>
  <c r="B91" i="1"/>
  <c r="B94" i="1" s="1"/>
  <c r="B45" i="1"/>
  <c r="B48" i="1" s="1"/>
  <c r="B9" i="1"/>
  <c r="B12" i="1" s="1"/>
  <c r="B73" i="1"/>
  <c r="B76" i="1" s="1"/>
  <c r="E1" i="4"/>
  <c r="H4" i="4" s="1"/>
  <c r="G4" i="26"/>
  <c r="I4" i="26" s="1"/>
  <c r="K4" i="26" s="1"/>
  <c r="C17" i="26" s="1"/>
  <c r="E17" i="26" s="1"/>
  <c r="G17" i="26" s="1"/>
  <c r="I17" i="26" s="1"/>
  <c r="D3" i="26"/>
  <c r="F3" i="26" s="1"/>
  <c r="H3" i="26" s="1"/>
  <c r="J3" i="26" s="1"/>
  <c r="B16" i="26" s="1"/>
  <c r="D16" i="26" s="1"/>
  <c r="F16" i="26" s="1"/>
  <c r="H16" i="26" s="1"/>
  <c r="B4" i="27" s="1"/>
  <c r="D12" i="26"/>
  <c r="F12" i="26" s="1"/>
  <c r="H12" i="26" s="1"/>
  <c r="J12" i="26" s="1"/>
  <c r="B25" i="26" s="1"/>
  <c r="D25" i="26" s="1"/>
  <c r="F25" i="26" s="1"/>
  <c r="H25" i="26" s="1"/>
  <c r="B13" i="27" s="1"/>
  <c r="E11" i="26"/>
  <c r="G11" i="26" s="1"/>
  <c r="I11" i="26" s="1"/>
  <c r="K11" i="26" s="1"/>
  <c r="C24" i="26" s="1"/>
  <c r="E24" i="26" s="1"/>
  <c r="G24" i="26" s="1"/>
  <c r="I24" i="26" s="1"/>
  <c r="D8" i="26"/>
  <c r="F8" i="26" s="1"/>
  <c r="H8" i="26" s="1"/>
  <c r="J8" i="26" s="1"/>
  <c r="B21" i="26" s="1"/>
  <c r="D21" i="26" s="1"/>
  <c r="F21" i="26" s="1"/>
  <c r="H21" i="26" s="1"/>
  <c r="B9" i="27" s="1"/>
  <c r="E6" i="26"/>
  <c r="G6" i="26" s="1"/>
  <c r="I6" i="26" s="1"/>
  <c r="K6" i="26" s="1"/>
  <c r="C19" i="26" s="1"/>
  <c r="E19" i="26" s="1"/>
  <c r="G19" i="26" s="1"/>
  <c r="I19" i="26" s="1"/>
  <c r="E3" i="26"/>
  <c r="G3" i="26" s="1"/>
  <c r="I3" i="26" s="1"/>
  <c r="K3" i="26" s="1"/>
  <c r="C16" i="26" s="1"/>
  <c r="E16" i="26" s="1"/>
  <c r="G16" i="26" s="1"/>
  <c r="I16" i="26" s="1"/>
  <c r="D13" i="26"/>
  <c r="F13" i="26" s="1"/>
  <c r="H13" i="26" s="1"/>
  <c r="J13" i="26" s="1"/>
  <c r="B26" i="26" s="1"/>
  <c r="D26" i="26" s="1"/>
  <c r="F26" i="26" s="1"/>
  <c r="H26" i="26" s="1"/>
  <c r="B14" i="27" s="1"/>
  <c r="E12" i="26"/>
  <c r="G12" i="26" s="1"/>
  <c r="I12" i="26" s="1"/>
  <c r="K12" i="26" s="1"/>
  <c r="C25" i="26" s="1"/>
  <c r="E25" i="26" s="1"/>
  <c r="G25" i="26" s="1"/>
  <c r="I25" i="26" s="1"/>
  <c r="D9" i="26"/>
  <c r="F9" i="26" s="1"/>
  <c r="H9" i="26" s="1"/>
  <c r="J9" i="26" s="1"/>
  <c r="B22" i="26" s="1"/>
  <c r="D22" i="26" s="1"/>
  <c r="F22" i="26" s="1"/>
  <c r="H22" i="26" s="1"/>
  <c r="B10" i="27" s="1"/>
  <c r="E8" i="26"/>
  <c r="G8" i="26" s="1"/>
  <c r="I8" i="26" s="1"/>
  <c r="K8" i="26" s="1"/>
  <c r="C21" i="26" s="1"/>
  <c r="E21" i="26" s="1"/>
  <c r="G21" i="26" s="1"/>
  <c r="I21" i="26" s="1"/>
  <c r="E7" i="26"/>
  <c r="G7" i="26" s="1"/>
  <c r="I7" i="26" s="1"/>
  <c r="K7" i="26" s="1"/>
  <c r="C20" i="26" s="1"/>
  <c r="E20" i="26" s="1"/>
  <c r="G20" i="26" s="1"/>
  <c r="I20" i="26" s="1"/>
  <c r="D4" i="26"/>
  <c r="F4" i="26" s="1"/>
  <c r="H4" i="26" s="1"/>
  <c r="J4" i="26" s="1"/>
  <c r="B17" i="26" s="1"/>
  <c r="D17" i="26" s="1"/>
  <c r="F17" i="26" s="1"/>
  <c r="H17" i="26" s="1"/>
  <c r="B5" i="27" s="1"/>
  <c r="E13" i="26"/>
  <c r="G13" i="26" s="1"/>
  <c r="I13" i="26" s="1"/>
  <c r="K13" i="26" s="1"/>
  <c r="C26" i="26" s="1"/>
  <c r="E26" i="26" s="1"/>
  <c r="G26" i="26" s="1"/>
  <c r="I26" i="26" s="1"/>
  <c r="E9" i="26"/>
  <c r="G9" i="26" s="1"/>
  <c r="I9" i="26" s="1"/>
  <c r="K9" i="26" s="1"/>
  <c r="C22" i="26" s="1"/>
  <c r="E22" i="26" s="1"/>
  <c r="G22" i="26" s="1"/>
  <c r="I22" i="26" s="1"/>
  <c r="D7" i="26"/>
  <c r="F7" i="26" s="1"/>
  <c r="H7" i="26" s="1"/>
  <c r="J7" i="26" s="1"/>
  <c r="B20" i="26" s="1"/>
  <c r="D20" i="26" s="1"/>
  <c r="F20" i="26" s="1"/>
  <c r="H20" i="26" s="1"/>
  <c r="B8" i="27" s="1"/>
  <c r="D11" i="26"/>
  <c r="F11" i="26" s="1"/>
  <c r="H11" i="26" s="1"/>
  <c r="J11" i="26" s="1"/>
  <c r="B24" i="26" s="1"/>
  <c r="D24" i="26" s="1"/>
  <c r="F24" i="26" s="1"/>
  <c r="H24" i="26" s="1"/>
  <c r="B12" i="27" s="1"/>
  <c r="E10" i="26"/>
  <c r="G10" i="26" s="1"/>
  <c r="I10" i="26" s="1"/>
  <c r="K10" i="26" s="1"/>
  <c r="C23" i="26" s="1"/>
  <c r="E23" i="26" s="1"/>
  <c r="G23" i="26" s="1"/>
  <c r="I23" i="26" s="1"/>
  <c r="E5" i="26"/>
  <c r="G5" i="26" s="1"/>
  <c r="I5" i="26" s="1"/>
  <c r="K5" i="26" s="1"/>
  <c r="C18" i="26" s="1"/>
  <c r="E18" i="26" s="1"/>
  <c r="G18" i="26" s="1"/>
  <c r="I18" i="26" s="1"/>
  <c r="D10" i="26"/>
  <c r="F10" i="26" s="1"/>
  <c r="H10" i="26" s="1"/>
  <c r="J10" i="26" s="1"/>
  <c r="B23" i="26" s="1"/>
  <c r="D23" i="26" s="1"/>
  <c r="F23" i="26" s="1"/>
  <c r="H23" i="26" s="1"/>
  <c r="B11" i="27" s="1"/>
  <c r="D5" i="26"/>
  <c r="F5" i="26" s="1"/>
  <c r="H5" i="26" s="1"/>
  <c r="J5" i="26" s="1"/>
  <c r="B18" i="26" s="1"/>
  <c r="D18" i="26" s="1"/>
  <c r="F18" i="26" s="1"/>
  <c r="H18" i="26" s="1"/>
  <c r="B6" i="27" s="1"/>
  <c r="D6" i="26"/>
  <c r="F6" i="26" s="1"/>
  <c r="H6" i="26" s="1"/>
  <c r="J6" i="26" s="1"/>
  <c r="B19" i="26" s="1"/>
  <c r="D19" i="26" s="1"/>
  <c r="F19" i="26" s="1"/>
  <c r="H19" i="26" s="1"/>
  <c r="B7" i="27" s="1"/>
  <c r="A82" i="11"/>
  <c r="A83" i="11" s="1"/>
  <c r="A84" i="11" s="1"/>
  <c r="C81" i="11"/>
  <c r="C82" i="11" s="1"/>
  <c r="C83" i="11" s="1"/>
  <c r="C84" i="11" s="1"/>
  <c r="B11" i="4"/>
  <c r="B14" i="4" s="1"/>
  <c r="B112" i="4"/>
  <c r="B115" i="4" s="1"/>
  <c r="B89" i="4"/>
  <c r="B92" i="4" s="1"/>
  <c r="B67" i="4"/>
  <c r="B70" i="4" s="1"/>
  <c r="B44" i="4"/>
  <c r="B47" i="4" s="1"/>
  <c r="B22" i="4"/>
  <c r="B25" i="4" s="1"/>
  <c r="B78" i="4"/>
  <c r="B81" i="4" s="1"/>
  <c r="B56" i="4"/>
  <c r="B59" i="4" s="1"/>
  <c r="B123" i="4"/>
  <c r="B126" i="4" s="1"/>
  <c r="H2" i="4"/>
  <c r="G2" i="7"/>
  <c r="H2" i="1"/>
  <c r="B18" i="1"/>
  <c r="B21" i="1" s="1"/>
  <c r="B36" i="1"/>
  <c r="B39" i="1" s="1"/>
  <c r="B54" i="1"/>
  <c r="B57" i="1" s="1"/>
  <c r="B64" i="1"/>
  <c r="B67" i="1" s="1"/>
  <c r="B82" i="1"/>
  <c r="B85" i="1" s="1"/>
  <c r="B100" i="1"/>
  <c r="B103" i="1" s="1"/>
  <c r="C6" i="27" l="1"/>
  <c r="B10" i="7"/>
  <c r="C5" i="27"/>
  <c r="B9" i="7"/>
  <c r="C9" i="27"/>
  <c r="B13" i="7"/>
  <c r="C11" i="27"/>
  <c r="B15" i="7"/>
  <c r="B12" i="7"/>
  <c r="C8" i="27"/>
  <c r="C14" i="27"/>
  <c r="B18" i="7"/>
  <c r="B17" i="7"/>
  <c r="C13" i="27"/>
  <c r="C12" i="27"/>
  <c r="B16" i="7"/>
  <c r="B11" i="7"/>
  <c r="C7" i="27"/>
  <c r="C10" i="27"/>
  <c r="B14" i="7"/>
  <c r="B8" i="7"/>
  <c r="C4" i="27"/>
  <c r="D61" i="1" l="1"/>
  <c r="D63" i="1" s="1"/>
  <c r="D73" i="4"/>
  <c r="D79" i="1"/>
  <c r="D81" i="1" s="1"/>
  <c r="D96" i="4"/>
  <c r="D118" i="4"/>
  <c r="D97" i="1"/>
  <c r="D99" i="1" s="1"/>
  <c r="D84" i="4"/>
  <c r="D70" i="1"/>
  <c r="D17" i="4"/>
  <c r="D15" i="1"/>
  <c r="D17" i="1" s="1"/>
  <c r="D10" i="27"/>
  <c r="C14" i="7"/>
  <c r="D12" i="27"/>
  <c r="C16" i="7"/>
  <c r="D14" i="27"/>
  <c r="C18" i="7"/>
  <c r="C15" i="7"/>
  <c r="D11" i="27"/>
  <c r="D5" i="27"/>
  <c r="C9" i="7"/>
  <c r="D4" i="27"/>
  <c r="C8" i="7"/>
  <c r="D7" i="27"/>
  <c r="C11" i="7"/>
  <c r="D13" i="27"/>
  <c r="C17" i="7"/>
  <c r="C12" i="7"/>
  <c r="D8" i="27"/>
  <c r="D51" i="1"/>
  <c r="D53" i="1" s="1"/>
  <c r="D62" i="4"/>
  <c r="D24" i="1"/>
  <c r="D26" i="1" s="1"/>
  <c r="D28" i="4"/>
  <c r="D6" i="1"/>
  <c r="D8" i="1" s="1"/>
  <c r="D6" i="4"/>
  <c r="D39" i="4"/>
  <c r="D33" i="1"/>
  <c r="D35" i="1" s="1"/>
  <c r="D107" i="4"/>
  <c r="D88" i="1"/>
  <c r="D90" i="1" s="1"/>
  <c r="D51" i="4"/>
  <c r="D42" i="1"/>
  <c r="D44" i="1" s="1"/>
  <c r="D9" i="27"/>
  <c r="C13" i="7"/>
  <c r="D6" i="27"/>
  <c r="C10" i="7"/>
  <c r="E28" i="4" l="1"/>
  <c r="E24" i="1"/>
  <c r="E26" i="1" s="1"/>
  <c r="D41" i="1"/>
  <c r="D34" i="1"/>
  <c r="D32" i="4"/>
  <c r="D30" i="4"/>
  <c r="E17" i="4"/>
  <c r="E15" i="1"/>
  <c r="E17" i="1" s="1"/>
  <c r="E61" i="1"/>
  <c r="E63" i="1" s="1"/>
  <c r="E73" i="4"/>
  <c r="D98" i="4"/>
  <c r="D100" i="4"/>
  <c r="D55" i="4"/>
  <c r="D53" i="4"/>
  <c r="D25" i="1"/>
  <c r="D32" i="1"/>
  <c r="E5" i="27"/>
  <c r="D9" i="7"/>
  <c r="D87" i="1"/>
  <c r="D80" i="1"/>
  <c r="E62" i="4"/>
  <c r="E51" i="1"/>
  <c r="E53" i="1" s="1"/>
  <c r="D96" i="1"/>
  <c r="D89" i="1"/>
  <c r="D10" i="4"/>
  <c r="D8" i="4"/>
  <c r="D66" i="4"/>
  <c r="D64" i="4"/>
  <c r="E88" i="1"/>
  <c r="E90" i="1" s="1"/>
  <c r="E107" i="4"/>
  <c r="E6" i="1"/>
  <c r="E8" i="1" s="1"/>
  <c r="E6" i="4"/>
  <c r="D15" i="7"/>
  <c r="E11" i="27"/>
  <c r="E96" i="4"/>
  <c r="E79" i="1"/>
  <c r="E81" i="1" s="1"/>
  <c r="D23" i="1"/>
  <c r="D16" i="1"/>
  <c r="D98" i="1"/>
  <c r="D105" i="1"/>
  <c r="D77" i="4"/>
  <c r="D75" i="4"/>
  <c r="D43" i="1"/>
  <c r="D50" i="1"/>
  <c r="D46" i="1"/>
  <c r="D45" i="1" s="1"/>
  <c r="D12" i="7"/>
  <c r="E8" i="27"/>
  <c r="E39" i="4"/>
  <c r="E33" i="1"/>
  <c r="E35" i="1" s="1"/>
  <c r="E118" i="4"/>
  <c r="E97" i="1"/>
  <c r="E99" i="1" s="1"/>
  <c r="G116" i="1"/>
  <c r="D19" i="1" s="1"/>
  <c r="D18" i="1" s="1"/>
  <c r="D72" i="1"/>
  <c r="D10" i="7"/>
  <c r="E6" i="27"/>
  <c r="D43" i="4"/>
  <c r="D41" i="4"/>
  <c r="E42" i="1"/>
  <c r="E44" i="1" s="1"/>
  <c r="E51" i="4"/>
  <c r="D11" i="7"/>
  <c r="E7" i="27"/>
  <c r="D18" i="7"/>
  <c r="E14" i="27"/>
  <c r="D14" i="7"/>
  <c r="E10" i="27"/>
  <c r="D88" i="4"/>
  <c r="D86" i="4"/>
  <c r="G139" i="4"/>
  <c r="E9" i="27"/>
  <c r="D13" i="7"/>
  <c r="D109" i="4"/>
  <c r="D111" i="4"/>
  <c r="D7" i="1"/>
  <c r="D14" i="1"/>
  <c r="D52" i="1"/>
  <c r="D55" i="1"/>
  <c r="D54" i="1" s="1"/>
  <c r="D59" i="1"/>
  <c r="D17" i="7"/>
  <c r="E13" i="27"/>
  <c r="D8" i="7"/>
  <c r="E4" i="27"/>
  <c r="E84" i="4"/>
  <c r="E70" i="1"/>
  <c r="E72" i="1" s="1"/>
  <c r="E12" i="27"/>
  <c r="D16" i="7"/>
  <c r="D19" i="4"/>
  <c r="D21" i="4"/>
  <c r="D120" i="4"/>
  <c r="D122" i="4"/>
  <c r="D62" i="1"/>
  <c r="D69" i="1"/>
  <c r="D65" i="1"/>
  <c r="D64" i="1" s="1"/>
  <c r="D37" i="1" l="1"/>
  <c r="D36" i="1" s="1"/>
  <c r="D28" i="1"/>
  <c r="D27" i="1" s="1"/>
  <c r="D101" i="1"/>
  <c r="D100" i="1" s="1"/>
  <c r="D103" i="1" s="1"/>
  <c r="D104" i="1" s="1"/>
  <c r="D92" i="1"/>
  <c r="D91" i="1" s="1"/>
  <c r="D94" i="1" s="1"/>
  <c r="D95" i="1" s="1"/>
  <c r="D121" i="4"/>
  <c r="D124" i="4"/>
  <c r="D123" i="4" s="1"/>
  <c r="E8" i="7"/>
  <c r="F4" i="27"/>
  <c r="F51" i="1"/>
  <c r="F53" i="1" s="1"/>
  <c r="F62" i="4"/>
  <c r="F118" i="4"/>
  <c r="F97" i="1"/>
  <c r="F99" i="1" s="1"/>
  <c r="F24" i="1"/>
  <c r="F26" i="1" s="1"/>
  <c r="F28" i="4"/>
  <c r="E122" i="4"/>
  <c r="E120" i="4"/>
  <c r="E10" i="4"/>
  <c r="E8" i="4"/>
  <c r="D63" i="4"/>
  <c r="D72" i="4"/>
  <c r="E64" i="4"/>
  <c r="E66" i="4"/>
  <c r="F15" i="1"/>
  <c r="F17" i="1" s="1"/>
  <c r="F17" i="4"/>
  <c r="D106" i="4"/>
  <c r="D97" i="4"/>
  <c r="E21" i="4"/>
  <c r="E19" i="4"/>
  <c r="E16" i="7"/>
  <c r="F12" i="27"/>
  <c r="F6" i="4"/>
  <c r="F6" i="1"/>
  <c r="F8" i="1" s="1"/>
  <c r="F10" i="27"/>
  <c r="E14" i="7"/>
  <c r="E11" i="7"/>
  <c r="F7" i="27"/>
  <c r="D74" i="1"/>
  <c r="D73" i="1" s="1"/>
  <c r="D78" i="1"/>
  <c r="D71" i="1"/>
  <c r="D76" i="1" s="1"/>
  <c r="D77" i="1" s="1"/>
  <c r="E34" i="1"/>
  <c r="E41" i="1"/>
  <c r="E37" i="1"/>
  <c r="E36" i="1" s="1"/>
  <c r="D76" i="4"/>
  <c r="D79" i="4"/>
  <c r="D78" i="4" s="1"/>
  <c r="D61" i="4"/>
  <c r="D52" i="4"/>
  <c r="D38" i="4"/>
  <c r="D29" i="4"/>
  <c r="D23" i="4"/>
  <c r="D22" i="4" s="1"/>
  <c r="D20" i="4"/>
  <c r="E17" i="7"/>
  <c r="F13" i="27"/>
  <c r="D113" i="4"/>
  <c r="D112" i="4" s="1"/>
  <c r="D110" i="4"/>
  <c r="F61" i="1"/>
  <c r="F63" i="1" s="1"/>
  <c r="F73" i="4"/>
  <c r="D42" i="4"/>
  <c r="D45" i="4"/>
  <c r="D44" i="4" s="1"/>
  <c r="E111" i="4"/>
  <c r="E109" i="4"/>
  <c r="D83" i="1"/>
  <c r="D82" i="1" s="1"/>
  <c r="D34" i="4"/>
  <c r="D33" i="4" s="1"/>
  <c r="D31" i="4"/>
  <c r="F79" i="1"/>
  <c r="F81" i="1" s="1"/>
  <c r="F96" i="4"/>
  <c r="D87" i="4"/>
  <c r="D90" i="4"/>
  <c r="D89" i="4" s="1"/>
  <c r="E43" i="1"/>
  <c r="E50" i="1"/>
  <c r="E46" i="1"/>
  <c r="E45" i="1" s="1"/>
  <c r="F42" i="1"/>
  <c r="F44" i="1" s="1"/>
  <c r="F51" i="4"/>
  <c r="D83" i="4"/>
  <c r="D74" i="4"/>
  <c r="E87" i="1"/>
  <c r="E83" i="1"/>
  <c r="E82" i="1" s="1"/>
  <c r="E80" i="1"/>
  <c r="D119" i="4"/>
  <c r="D126" i="4" s="1"/>
  <c r="D127" i="4" s="1"/>
  <c r="D128" i="4"/>
  <c r="E13" i="7"/>
  <c r="F9" i="27"/>
  <c r="D40" i="4"/>
  <c r="D47" i="4" s="1"/>
  <c r="D48" i="4" s="1"/>
  <c r="D49" i="4"/>
  <c r="D21" i="1"/>
  <c r="D22" i="1" s="1"/>
  <c r="E98" i="4"/>
  <c r="E100" i="4"/>
  <c r="E14" i="1"/>
  <c r="E7" i="1"/>
  <c r="E12" i="1" s="1"/>
  <c r="E13" i="1" s="1"/>
  <c r="E10" i="1"/>
  <c r="E9" i="1" s="1"/>
  <c r="D65" i="4"/>
  <c r="D68" i="4"/>
  <c r="D67" i="4" s="1"/>
  <c r="D85" i="1"/>
  <c r="D86" i="1" s="1"/>
  <c r="F5" i="27"/>
  <c r="E9" i="7"/>
  <c r="E77" i="4"/>
  <c r="E75" i="4"/>
  <c r="E71" i="1"/>
  <c r="E74" i="1"/>
  <c r="E73" i="1" s="1"/>
  <c r="E78" i="1"/>
  <c r="D57" i="1"/>
  <c r="D58" i="1" s="1"/>
  <c r="F39" i="4"/>
  <c r="F33" i="1"/>
  <c r="F35" i="1" s="1"/>
  <c r="E43" i="4"/>
  <c r="E41" i="4"/>
  <c r="F11" i="27"/>
  <c r="E15" i="7"/>
  <c r="D16" i="4"/>
  <c r="D7" i="4"/>
  <c r="D54" i="4"/>
  <c r="D57" i="4"/>
  <c r="D56" i="4" s="1"/>
  <c r="E62" i="1"/>
  <c r="E67" i="1" s="1"/>
  <c r="E68" i="1" s="1"/>
  <c r="E69" i="1"/>
  <c r="E65" i="1"/>
  <c r="E64" i="1" s="1"/>
  <c r="E32" i="1"/>
  <c r="E28" i="1"/>
  <c r="E27" i="1" s="1"/>
  <c r="E25" i="1"/>
  <c r="D67" i="1"/>
  <c r="D68" i="1" s="1"/>
  <c r="D18" i="4"/>
  <c r="D25" i="4" s="1"/>
  <c r="D26" i="4" s="1"/>
  <c r="D27" i="4"/>
  <c r="E88" i="4"/>
  <c r="E86" i="4"/>
  <c r="F107" i="4"/>
  <c r="F88" i="1"/>
  <c r="F90" i="1" s="1"/>
  <c r="D10" i="1"/>
  <c r="D9" i="1" s="1"/>
  <c r="D12" i="1" s="1"/>
  <c r="D13" i="1" s="1"/>
  <c r="D117" i="4"/>
  <c r="D108" i="4"/>
  <c r="D115" i="4" s="1"/>
  <c r="D116" i="4" s="1"/>
  <c r="D85" i="4"/>
  <c r="D92" i="4" s="1"/>
  <c r="D93" i="4" s="1"/>
  <c r="D94" i="4"/>
  <c r="E18" i="7"/>
  <c r="F14" i="27"/>
  <c r="E53" i="4"/>
  <c r="E55" i="4"/>
  <c r="E10" i="7"/>
  <c r="F6" i="27"/>
  <c r="E101" i="1"/>
  <c r="E100" i="1" s="1"/>
  <c r="E105" i="1"/>
  <c r="E98" i="1"/>
  <c r="F8" i="27"/>
  <c r="E12" i="7"/>
  <c r="D48" i="1"/>
  <c r="D49" i="1" s="1"/>
  <c r="F84" i="4"/>
  <c r="F70" i="1"/>
  <c r="F72" i="1" s="1"/>
  <c r="E92" i="1"/>
  <c r="E91" i="1" s="1"/>
  <c r="E96" i="1"/>
  <c r="E89" i="1"/>
  <c r="D9" i="4"/>
  <c r="D12" i="4"/>
  <c r="D11" i="4" s="1"/>
  <c r="E55" i="1"/>
  <c r="E54" i="1" s="1"/>
  <c r="E59" i="1"/>
  <c r="E52" i="1"/>
  <c r="E57" i="1" s="1"/>
  <c r="E58" i="1" s="1"/>
  <c r="D30" i="1"/>
  <c r="D31" i="1" s="1"/>
  <c r="D99" i="4"/>
  <c r="D102" i="4"/>
  <c r="D101" i="4" s="1"/>
  <c r="E19" i="1"/>
  <c r="E18" i="1" s="1"/>
  <c r="E16" i="1"/>
  <c r="E23" i="1"/>
  <c r="D39" i="1"/>
  <c r="D40" i="1" s="1"/>
  <c r="E32" i="4"/>
  <c r="E30" i="4"/>
  <c r="E94" i="1" l="1"/>
  <c r="E95" i="1" s="1"/>
  <c r="F74" i="1"/>
  <c r="F73" i="1" s="1"/>
  <c r="F71" i="1"/>
  <c r="F78" i="1"/>
  <c r="G51" i="4"/>
  <c r="G42" i="1"/>
  <c r="G44" i="1" s="1"/>
  <c r="E61" i="4"/>
  <c r="E52" i="4"/>
  <c r="F89" i="1"/>
  <c r="F96" i="1"/>
  <c r="F92" i="1"/>
  <c r="F91" i="1" s="1"/>
  <c r="E79" i="4"/>
  <c r="E78" i="4" s="1"/>
  <c r="E76" i="4"/>
  <c r="F62" i="1"/>
  <c r="F65" i="1"/>
  <c r="F64" i="1" s="1"/>
  <c r="F69" i="1"/>
  <c r="G39" i="4"/>
  <c r="G33" i="1"/>
  <c r="G35" i="1" s="1"/>
  <c r="E18" i="4"/>
  <c r="E27" i="4"/>
  <c r="F19" i="4"/>
  <c r="F21" i="4"/>
  <c r="E119" i="4"/>
  <c r="E128" i="4"/>
  <c r="G4" i="27"/>
  <c r="F8" i="7"/>
  <c r="F12" i="7"/>
  <c r="G8" i="27"/>
  <c r="F111" i="4"/>
  <c r="F109" i="4"/>
  <c r="F37" i="1"/>
  <c r="F36" i="1" s="1"/>
  <c r="F41" i="1"/>
  <c r="F34" i="1"/>
  <c r="G17" i="4"/>
  <c r="G15" i="1"/>
  <c r="G17" i="1" s="1"/>
  <c r="E99" i="4"/>
  <c r="E102" i="4"/>
  <c r="E101" i="4" s="1"/>
  <c r="D81" i="4"/>
  <c r="D82" i="4" s="1"/>
  <c r="D59" i="4"/>
  <c r="D60" i="4" s="1"/>
  <c r="G73" i="4"/>
  <c r="G61" i="1"/>
  <c r="G63" i="1" s="1"/>
  <c r="F8" i="4"/>
  <c r="F10" i="4"/>
  <c r="E20" i="4"/>
  <c r="E23" i="4"/>
  <c r="E22" i="4" s="1"/>
  <c r="F16" i="1"/>
  <c r="F23" i="1"/>
  <c r="F19" i="1"/>
  <c r="F18" i="1" s="1"/>
  <c r="D70" i="4"/>
  <c r="D71" i="4" s="1"/>
  <c r="E124" i="4"/>
  <c r="E123" i="4" s="1"/>
  <c r="E121" i="4"/>
  <c r="F122" i="4"/>
  <c r="F120" i="4"/>
  <c r="G6" i="4"/>
  <c r="G6" i="1"/>
  <c r="G8" i="1" s="1"/>
  <c r="E103" i="1"/>
  <c r="E104" i="1" s="1"/>
  <c r="G28" i="4"/>
  <c r="G24" i="1"/>
  <c r="G26" i="1" s="1"/>
  <c r="G97" i="1"/>
  <c r="G99" i="1" s="1"/>
  <c r="G118" i="4"/>
  <c r="E94" i="4"/>
  <c r="E85" i="4"/>
  <c r="F15" i="7"/>
  <c r="G11" i="27"/>
  <c r="F43" i="4"/>
  <c r="F41" i="4"/>
  <c r="E76" i="1"/>
  <c r="E77" i="1" s="1"/>
  <c r="G5" i="27"/>
  <c r="F9" i="7"/>
  <c r="E97" i="4"/>
  <c r="E106" i="4"/>
  <c r="F13" i="7"/>
  <c r="G9" i="27"/>
  <c r="E85" i="1"/>
  <c r="E86" i="1" s="1"/>
  <c r="F98" i="4"/>
  <c r="F100" i="4"/>
  <c r="F14" i="7"/>
  <c r="G10" i="27"/>
  <c r="F16" i="7"/>
  <c r="G12" i="27"/>
  <c r="D104" i="4"/>
  <c r="D105" i="4" s="1"/>
  <c r="E65" i="4"/>
  <c r="E68" i="4"/>
  <c r="E67" i="4" s="1"/>
  <c r="E7" i="4"/>
  <c r="E14" i="4" s="1"/>
  <c r="E15" i="4" s="1"/>
  <c r="E16" i="4"/>
  <c r="F30" i="4"/>
  <c r="F32" i="4"/>
  <c r="F64" i="4"/>
  <c r="F66" i="4"/>
  <c r="E34" i="4"/>
  <c r="E33" i="4" s="1"/>
  <c r="E31" i="4"/>
  <c r="E45" i="4"/>
  <c r="E44" i="4" s="1"/>
  <c r="E42" i="4"/>
  <c r="F50" i="1"/>
  <c r="F43" i="1"/>
  <c r="F46" i="1"/>
  <c r="F45" i="1" s="1"/>
  <c r="E113" i="4"/>
  <c r="E112" i="4" s="1"/>
  <c r="E110" i="4"/>
  <c r="G107" i="4"/>
  <c r="G88" i="1"/>
  <c r="G90" i="1" s="1"/>
  <c r="F7" i="1"/>
  <c r="F12" i="1" s="1"/>
  <c r="F13" i="1" s="1"/>
  <c r="F14" i="1"/>
  <c r="F10" i="1"/>
  <c r="F9" i="1" s="1"/>
  <c r="F101" i="1"/>
  <c r="F100" i="1" s="1"/>
  <c r="F105" i="1"/>
  <c r="F98" i="1"/>
  <c r="F88" i="4"/>
  <c r="F86" i="4"/>
  <c r="G6" i="27"/>
  <c r="F10" i="7"/>
  <c r="F18" i="7"/>
  <c r="G14" i="27"/>
  <c r="G84" i="4"/>
  <c r="G70" i="1"/>
  <c r="G72" i="1" s="1"/>
  <c r="E29" i="4"/>
  <c r="E38" i="4"/>
  <c r="E21" i="1"/>
  <c r="E22" i="1" s="1"/>
  <c r="E54" i="4"/>
  <c r="E57" i="4"/>
  <c r="E56" i="4" s="1"/>
  <c r="E90" i="4"/>
  <c r="E89" i="4" s="1"/>
  <c r="E87" i="4"/>
  <c r="E30" i="1"/>
  <c r="E31" i="1" s="1"/>
  <c r="D14" i="4"/>
  <c r="D15" i="4" s="1"/>
  <c r="E40" i="4"/>
  <c r="E49" i="4"/>
  <c r="E74" i="4"/>
  <c r="E83" i="4"/>
  <c r="G51" i="1"/>
  <c r="G53" i="1" s="1"/>
  <c r="G62" i="4"/>
  <c r="F53" i="4"/>
  <c r="F55" i="4"/>
  <c r="E48" i="1"/>
  <c r="E49" i="1" s="1"/>
  <c r="F87" i="1"/>
  <c r="F80" i="1"/>
  <c r="F83" i="1"/>
  <c r="F82" i="1" s="1"/>
  <c r="E108" i="4"/>
  <c r="E117" i="4"/>
  <c r="F77" i="4"/>
  <c r="F75" i="4"/>
  <c r="G13" i="27"/>
  <c r="F17" i="7"/>
  <c r="D36" i="4"/>
  <c r="D37" i="4" s="1"/>
  <c r="E39" i="1"/>
  <c r="E40" i="1" s="1"/>
  <c r="G7" i="27"/>
  <c r="F11" i="7"/>
  <c r="G79" i="1"/>
  <c r="G81" i="1" s="1"/>
  <c r="G96" i="4"/>
  <c r="E63" i="4"/>
  <c r="E70" i="4" s="1"/>
  <c r="E71" i="4" s="1"/>
  <c r="E72" i="4"/>
  <c r="E9" i="4"/>
  <c r="E12" i="4"/>
  <c r="E11" i="4" s="1"/>
  <c r="F32" i="1"/>
  <c r="F25" i="1"/>
  <c r="F30" i="1" s="1"/>
  <c r="F31" i="1" s="1"/>
  <c r="F28" i="1"/>
  <c r="F27" i="1" s="1"/>
  <c r="F59" i="1"/>
  <c r="F55" i="1"/>
  <c r="F54" i="1" s="1"/>
  <c r="F52" i="1"/>
  <c r="F57" i="1" s="1"/>
  <c r="F58" i="1" s="1"/>
  <c r="F85" i="1" l="1"/>
  <c r="F86" i="1" s="1"/>
  <c r="F67" i="1"/>
  <c r="F68" i="1" s="1"/>
  <c r="F39" i="1"/>
  <c r="F40" i="1" s="1"/>
  <c r="F94" i="1"/>
  <c r="F95" i="1" s="1"/>
  <c r="H107" i="4"/>
  <c r="H88" i="1"/>
  <c r="H90" i="1" s="1"/>
  <c r="G86" i="4"/>
  <c r="G88" i="4"/>
  <c r="F65" i="4"/>
  <c r="F68" i="4"/>
  <c r="F67" i="4" s="1"/>
  <c r="H17" i="4"/>
  <c r="H15" i="1"/>
  <c r="H17" i="1" s="1"/>
  <c r="G32" i="4"/>
  <c r="G30" i="4"/>
  <c r="G62" i="1"/>
  <c r="G65" i="1"/>
  <c r="G64" i="1" s="1"/>
  <c r="G69" i="1"/>
  <c r="F113" i="4"/>
  <c r="F112" i="4" s="1"/>
  <c r="F110" i="4"/>
  <c r="H4" i="27"/>
  <c r="G8" i="7"/>
  <c r="F18" i="4"/>
  <c r="F27" i="4"/>
  <c r="G43" i="4"/>
  <c r="G41" i="4"/>
  <c r="G55" i="4"/>
  <c r="G53" i="4"/>
  <c r="H13" i="27"/>
  <c r="G17" i="7"/>
  <c r="F72" i="4"/>
  <c r="F63" i="4"/>
  <c r="F70" i="4" s="1"/>
  <c r="F71" i="4" s="1"/>
  <c r="H12" i="27"/>
  <c r="G16" i="7"/>
  <c r="F102" i="4"/>
  <c r="F101" i="4" s="1"/>
  <c r="F99" i="4"/>
  <c r="H62" i="4"/>
  <c r="H51" i="1"/>
  <c r="H53" i="1" s="1"/>
  <c r="H5" i="27"/>
  <c r="G9" i="7"/>
  <c r="G15" i="7"/>
  <c r="H11" i="27"/>
  <c r="G120" i="4"/>
  <c r="G122" i="4"/>
  <c r="F124" i="4"/>
  <c r="F123" i="4" s="1"/>
  <c r="F121" i="4"/>
  <c r="G75" i="4"/>
  <c r="G77" i="4"/>
  <c r="G12" i="7"/>
  <c r="H8" i="27"/>
  <c r="E59" i="4"/>
  <c r="E60" i="4" s="1"/>
  <c r="G98" i="4"/>
  <c r="G100" i="4"/>
  <c r="F83" i="4"/>
  <c r="F74" i="4"/>
  <c r="F54" i="4"/>
  <c r="F57" i="4"/>
  <c r="F56" i="4" s="1"/>
  <c r="E36" i="4"/>
  <c r="E37" i="4" s="1"/>
  <c r="H97" i="1"/>
  <c r="H99" i="1" s="1"/>
  <c r="H118" i="4"/>
  <c r="F90" i="4"/>
  <c r="F89" i="4" s="1"/>
  <c r="F87" i="4"/>
  <c r="G111" i="4"/>
  <c r="G109" i="4"/>
  <c r="F48" i="1"/>
  <c r="F49" i="1" s="1"/>
  <c r="F31" i="4"/>
  <c r="F34" i="4"/>
  <c r="F33" i="4" s="1"/>
  <c r="H96" i="4"/>
  <c r="H79" i="1"/>
  <c r="H81" i="1" s="1"/>
  <c r="F106" i="4"/>
  <c r="F97" i="4"/>
  <c r="H70" i="1"/>
  <c r="H72" i="1" s="1"/>
  <c r="H84" i="4"/>
  <c r="G105" i="1"/>
  <c r="G98" i="1"/>
  <c r="G101" i="1"/>
  <c r="G100" i="1" s="1"/>
  <c r="G14" i="1"/>
  <c r="G10" i="1"/>
  <c r="G9" i="1" s="1"/>
  <c r="G7" i="1"/>
  <c r="F9" i="4"/>
  <c r="F12" i="4"/>
  <c r="F11" i="4" s="1"/>
  <c r="G23" i="1"/>
  <c r="G19" i="1"/>
  <c r="G18" i="1" s="1"/>
  <c r="G16" i="1"/>
  <c r="G21" i="1" s="1"/>
  <c r="G22" i="1" s="1"/>
  <c r="H51" i="4"/>
  <c r="H42" i="1"/>
  <c r="H44" i="1" s="1"/>
  <c r="E126" i="4"/>
  <c r="E127" i="4" s="1"/>
  <c r="E25" i="4"/>
  <c r="E26" i="4" s="1"/>
  <c r="F76" i="1"/>
  <c r="F77" i="1" s="1"/>
  <c r="H33" i="1"/>
  <c r="H35" i="1" s="1"/>
  <c r="H39" i="4"/>
  <c r="G64" i="4"/>
  <c r="G66" i="4"/>
  <c r="G10" i="7"/>
  <c r="H6" i="27"/>
  <c r="H73" i="4"/>
  <c r="H61" i="1"/>
  <c r="H63" i="1" s="1"/>
  <c r="H9" i="27"/>
  <c r="G13" i="7"/>
  <c r="F45" i="4"/>
  <c r="F44" i="4" s="1"/>
  <c r="F42" i="4"/>
  <c r="F119" i="4"/>
  <c r="F128" i="4"/>
  <c r="H7" i="27"/>
  <c r="G11" i="7"/>
  <c r="E115" i="4"/>
  <c r="E116" i="4" s="1"/>
  <c r="G59" i="1"/>
  <c r="G55" i="1"/>
  <c r="G54" i="1" s="1"/>
  <c r="G52" i="1"/>
  <c r="G57" i="1" s="1"/>
  <c r="G58" i="1" s="1"/>
  <c r="E47" i="4"/>
  <c r="E48" i="4" s="1"/>
  <c r="H14" i="27"/>
  <c r="G18" i="7"/>
  <c r="F85" i="4"/>
  <c r="F92" i="4" s="1"/>
  <c r="F93" i="4" s="1"/>
  <c r="F94" i="4"/>
  <c r="G96" i="1"/>
  <c r="G92" i="1"/>
  <c r="G91" i="1" s="1"/>
  <c r="G89" i="1"/>
  <c r="G94" i="1" s="1"/>
  <c r="G95" i="1" s="1"/>
  <c r="G80" i="1"/>
  <c r="G87" i="1"/>
  <c r="G83" i="1"/>
  <c r="G82" i="1" s="1"/>
  <c r="F76" i="4"/>
  <c r="F79" i="4"/>
  <c r="F78" i="4" s="1"/>
  <c r="F61" i="4"/>
  <c r="F52" i="4"/>
  <c r="E81" i="4"/>
  <c r="E82" i="4" s="1"/>
  <c r="G71" i="1"/>
  <c r="G78" i="1"/>
  <c r="G74" i="1"/>
  <c r="G73" i="1" s="1"/>
  <c r="H24" i="1"/>
  <c r="H26" i="1" s="1"/>
  <c r="H28" i="4"/>
  <c r="F103" i="1"/>
  <c r="F104" i="1" s="1"/>
  <c r="F38" i="4"/>
  <c r="F29" i="4"/>
  <c r="F36" i="4" s="1"/>
  <c r="F37" i="4" s="1"/>
  <c r="H10" i="27"/>
  <c r="G14" i="7"/>
  <c r="E104" i="4"/>
  <c r="E105" i="4" s="1"/>
  <c r="F49" i="4"/>
  <c r="F40" i="4"/>
  <c r="E92" i="4"/>
  <c r="E93" i="4" s="1"/>
  <c r="G28" i="1"/>
  <c r="G27" i="1" s="1"/>
  <c r="G25" i="1"/>
  <c r="G30" i="1" s="1"/>
  <c r="G31" i="1" s="1"/>
  <c r="G32" i="1"/>
  <c r="G10" i="4"/>
  <c r="G8" i="4"/>
  <c r="F21" i="1"/>
  <c r="F22" i="1" s="1"/>
  <c r="F7" i="4"/>
  <c r="F16" i="4"/>
  <c r="G19" i="4"/>
  <c r="G21" i="4"/>
  <c r="F108" i="4"/>
  <c r="F115" i="4" s="1"/>
  <c r="F116" i="4" s="1"/>
  <c r="F117" i="4"/>
  <c r="H6" i="1"/>
  <c r="H8" i="1" s="1"/>
  <c r="H6" i="4"/>
  <c r="F20" i="4"/>
  <c r="F23" i="4"/>
  <c r="F22" i="4" s="1"/>
  <c r="G34" i="1"/>
  <c r="G37" i="1"/>
  <c r="G36" i="1" s="1"/>
  <c r="G41" i="1"/>
  <c r="G43" i="1"/>
  <c r="G46" i="1"/>
  <c r="G45" i="1" s="1"/>
  <c r="G50" i="1"/>
  <c r="H8" i="4" l="1"/>
  <c r="H10" i="4"/>
  <c r="I39" i="4"/>
  <c r="I33" i="1"/>
  <c r="I35" i="1" s="1"/>
  <c r="H69" i="1"/>
  <c r="H62" i="1"/>
  <c r="H65" i="1"/>
  <c r="H64" i="1" s="1"/>
  <c r="H55" i="4"/>
  <c r="H53" i="4"/>
  <c r="H80" i="1"/>
  <c r="H87" i="1"/>
  <c r="H83" i="1"/>
  <c r="H82" i="1" s="1"/>
  <c r="G102" i="4"/>
  <c r="G101" i="4" s="1"/>
  <c r="G99" i="4"/>
  <c r="H66" i="4"/>
  <c r="H64" i="4"/>
  <c r="G45" i="4"/>
  <c r="G44" i="4" s="1"/>
  <c r="G42" i="4"/>
  <c r="H8" i="7"/>
  <c r="I4" i="27"/>
  <c r="H23" i="1"/>
  <c r="H19" i="1"/>
  <c r="H18" i="1" s="1"/>
  <c r="H16" i="1"/>
  <c r="H21" i="1" s="1"/>
  <c r="H22" i="1" s="1"/>
  <c r="G39" i="1"/>
  <c r="G40" i="1" s="1"/>
  <c r="I118" i="4"/>
  <c r="I97" i="1"/>
  <c r="I99" i="1" s="1"/>
  <c r="H77" i="4"/>
  <c r="H75" i="4"/>
  <c r="G72" i="4"/>
  <c r="G63" i="4"/>
  <c r="H74" i="1"/>
  <c r="H73" i="1" s="1"/>
  <c r="H71" i="1"/>
  <c r="H78" i="1"/>
  <c r="H100" i="4"/>
  <c r="H98" i="4"/>
  <c r="G108" i="4"/>
  <c r="G117" i="4"/>
  <c r="H122" i="4"/>
  <c r="H120" i="4"/>
  <c r="G106" i="4"/>
  <c r="G97" i="4"/>
  <c r="G76" i="4"/>
  <c r="G79" i="4"/>
  <c r="G78" i="4" s="1"/>
  <c r="G121" i="4"/>
  <c r="G124" i="4"/>
  <c r="G123" i="4" s="1"/>
  <c r="I17" i="4"/>
  <c r="I15" i="1"/>
  <c r="I17" i="1" s="1"/>
  <c r="G52" i="4"/>
  <c r="G61" i="4"/>
  <c r="G67" i="1"/>
  <c r="G68" i="1" s="1"/>
  <c r="H19" i="4"/>
  <c r="H21" i="4"/>
  <c r="G94" i="4"/>
  <c r="G85" i="4"/>
  <c r="G48" i="1"/>
  <c r="G49" i="1" s="1"/>
  <c r="G9" i="4"/>
  <c r="G12" i="4"/>
  <c r="G11" i="4" s="1"/>
  <c r="I73" i="4"/>
  <c r="I61" i="1"/>
  <c r="I63" i="1" s="1"/>
  <c r="I14" i="27"/>
  <c r="H18" i="7"/>
  <c r="I62" i="4"/>
  <c r="I51" i="1"/>
  <c r="I53" i="1" s="1"/>
  <c r="I6" i="27"/>
  <c r="H10" i="7"/>
  <c r="H41" i="4"/>
  <c r="H43" i="4"/>
  <c r="G12" i="1"/>
  <c r="G13" i="1" s="1"/>
  <c r="G103" i="1"/>
  <c r="G104" i="1" s="1"/>
  <c r="F104" i="4"/>
  <c r="F105" i="4" s="1"/>
  <c r="G113" i="4"/>
  <c r="G112" i="4" s="1"/>
  <c r="G110" i="4"/>
  <c r="H98" i="1"/>
  <c r="H101" i="1"/>
  <c r="H100" i="1" s="1"/>
  <c r="H105" i="1"/>
  <c r="F81" i="4"/>
  <c r="F82" i="4" s="1"/>
  <c r="G74" i="4"/>
  <c r="G83" i="4"/>
  <c r="G128" i="4"/>
  <c r="G119" i="4"/>
  <c r="I5" i="27"/>
  <c r="H9" i="7"/>
  <c r="G57" i="4"/>
  <c r="G56" i="4" s="1"/>
  <c r="G54" i="4"/>
  <c r="F25" i="4"/>
  <c r="F26" i="4" s="1"/>
  <c r="G29" i="4"/>
  <c r="G38" i="4"/>
  <c r="H92" i="1"/>
  <c r="H91" i="1" s="1"/>
  <c r="H89" i="1"/>
  <c r="H96" i="1"/>
  <c r="G20" i="4"/>
  <c r="G23" i="4"/>
  <c r="G22" i="4" s="1"/>
  <c r="H25" i="1"/>
  <c r="H28" i="1"/>
  <c r="H27" i="1" s="1"/>
  <c r="H32" i="1"/>
  <c r="G68" i="4"/>
  <c r="G67" i="4" s="1"/>
  <c r="G65" i="4"/>
  <c r="H86" i="4"/>
  <c r="H88" i="4"/>
  <c r="I42" i="1"/>
  <c r="I44" i="1" s="1"/>
  <c r="I51" i="4"/>
  <c r="I70" i="1"/>
  <c r="I72" i="1" s="1"/>
  <c r="I84" i="4"/>
  <c r="H16" i="7"/>
  <c r="I12" i="27"/>
  <c r="I13" i="27"/>
  <c r="H17" i="7"/>
  <c r="G87" i="4"/>
  <c r="G90" i="4"/>
  <c r="G89" i="4" s="1"/>
  <c r="H14" i="1"/>
  <c r="H7" i="1"/>
  <c r="H10" i="1"/>
  <c r="H9" i="1" s="1"/>
  <c r="G18" i="4"/>
  <c r="G27" i="4"/>
  <c r="G7" i="4"/>
  <c r="G16" i="4"/>
  <c r="F59" i="4"/>
  <c r="F60" i="4" s="1"/>
  <c r="I7" i="27"/>
  <c r="H11" i="7"/>
  <c r="F14" i="4"/>
  <c r="F15" i="4" s="1"/>
  <c r="F47" i="4"/>
  <c r="F48" i="4" s="1"/>
  <c r="I10" i="27"/>
  <c r="H14" i="7"/>
  <c r="H30" i="4"/>
  <c r="H32" i="4"/>
  <c r="G76" i="1"/>
  <c r="G77" i="1" s="1"/>
  <c r="G85" i="1"/>
  <c r="G86" i="1" s="1"/>
  <c r="F126" i="4"/>
  <c r="F127" i="4" s="1"/>
  <c r="H13" i="7"/>
  <c r="I9" i="27"/>
  <c r="I28" i="4"/>
  <c r="I24" i="1"/>
  <c r="I26" i="1" s="1"/>
  <c r="H41" i="1"/>
  <c r="H34" i="1"/>
  <c r="H37" i="1"/>
  <c r="H36" i="1" s="1"/>
  <c r="H43" i="1"/>
  <c r="H50" i="1"/>
  <c r="H46" i="1"/>
  <c r="H45" i="1" s="1"/>
  <c r="I8" i="27"/>
  <c r="H12" i="7"/>
  <c r="I11" i="27"/>
  <c r="H15" i="7"/>
  <c r="H59" i="1"/>
  <c r="H52" i="1"/>
  <c r="H55" i="1"/>
  <c r="H54" i="1" s="1"/>
  <c r="I96" i="4"/>
  <c r="I79" i="1"/>
  <c r="I81" i="1" s="1"/>
  <c r="I88" i="1"/>
  <c r="I90" i="1" s="1"/>
  <c r="I107" i="4"/>
  <c r="G49" i="4"/>
  <c r="G40" i="4"/>
  <c r="G47" i="4" s="1"/>
  <c r="G48" i="4" s="1"/>
  <c r="I6" i="4"/>
  <c r="I6" i="1"/>
  <c r="I8" i="1" s="1"/>
  <c r="G34" i="4"/>
  <c r="G33" i="4" s="1"/>
  <c r="G31" i="4"/>
  <c r="H111" i="4"/>
  <c r="H109" i="4"/>
  <c r="G14" i="4" l="1"/>
  <c r="G15" i="4" s="1"/>
  <c r="H12" i="1"/>
  <c r="H13" i="1" s="1"/>
  <c r="G92" i="4"/>
  <c r="G93" i="4" s="1"/>
  <c r="G70" i="4"/>
  <c r="G71" i="4" s="1"/>
  <c r="H85" i="1"/>
  <c r="H86" i="1" s="1"/>
  <c r="H94" i="1"/>
  <c r="H95" i="1" s="1"/>
  <c r="I83" i="1"/>
  <c r="I82" i="1" s="1"/>
  <c r="I87" i="1"/>
  <c r="I80" i="1"/>
  <c r="J8" i="27"/>
  <c r="I12" i="7"/>
  <c r="I30" i="4"/>
  <c r="I32" i="4"/>
  <c r="J39" i="4"/>
  <c r="J33" i="1"/>
  <c r="J35" i="1" s="1"/>
  <c r="H87" i="4"/>
  <c r="H90" i="4"/>
  <c r="H89" i="4" s="1"/>
  <c r="H45" i="4"/>
  <c r="H44" i="4" s="1"/>
  <c r="H42" i="4"/>
  <c r="I62" i="1"/>
  <c r="I69" i="1"/>
  <c r="I65" i="1"/>
  <c r="I64" i="1" s="1"/>
  <c r="H27" i="4"/>
  <c r="H18" i="4"/>
  <c r="I23" i="1"/>
  <c r="I16" i="1"/>
  <c r="I19" i="1"/>
  <c r="I18" i="1" s="1"/>
  <c r="J6" i="4"/>
  <c r="J6" i="1"/>
  <c r="J8" i="1" s="1"/>
  <c r="H68" i="4"/>
  <c r="H67" i="4" s="1"/>
  <c r="H65" i="4"/>
  <c r="I43" i="4"/>
  <c r="I41" i="4"/>
  <c r="J9" i="27"/>
  <c r="I13" i="7"/>
  <c r="J10" i="27"/>
  <c r="I14" i="7"/>
  <c r="J13" i="27"/>
  <c r="I17" i="7"/>
  <c r="G36" i="4"/>
  <c r="G37" i="4" s="1"/>
  <c r="H49" i="4"/>
  <c r="H40" i="4"/>
  <c r="H47" i="4" s="1"/>
  <c r="H48" i="4" s="1"/>
  <c r="I21" i="4"/>
  <c r="I19" i="4"/>
  <c r="H102" i="4"/>
  <c r="H101" i="4" s="1"/>
  <c r="H99" i="4"/>
  <c r="H67" i="1"/>
  <c r="H68" i="1" s="1"/>
  <c r="H108" i="4"/>
  <c r="H117" i="4"/>
  <c r="J11" i="27"/>
  <c r="I15" i="7"/>
  <c r="H113" i="4"/>
  <c r="H112" i="4" s="1"/>
  <c r="H110" i="4"/>
  <c r="I8" i="4"/>
  <c r="I10" i="4"/>
  <c r="I89" i="1"/>
  <c r="I92" i="1"/>
  <c r="I91" i="1" s="1"/>
  <c r="I96" i="1"/>
  <c r="H57" i="1"/>
  <c r="H58" i="1" s="1"/>
  <c r="J51" i="4"/>
  <c r="J42" i="1"/>
  <c r="J44" i="1" s="1"/>
  <c r="H48" i="1"/>
  <c r="H49" i="1" s="1"/>
  <c r="I32" i="1"/>
  <c r="I28" i="1"/>
  <c r="I27" i="1" s="1"/>
  <c r="I25" i="1"/>
  <c r="H38" i="4"/>
  <c r="H29" i="4"/>
  <c r="J96" i="4"/>
  <c r="J79" i="1"/>
  <c r="J81" i="1" s="1"/>
  <c r="I46" i="1"/>
  <c r="I45" i="1" s="1"/>
  <c r="I50" i="1"/>
  <c r="I43" i="1"/>
  <c r="G126" i="4"/>
  <c r="G127" i="4" s="1"/>
  <c r="I10" i="7"/>
  <c r="J6" i="27"/>
  <c r="J14" i="27"/>
  <c r="I18" i="7"/>
  <c r="H23" i="4"/>
  <c r="H22" i="4" s="1"/>
  <c r="H20" i="4"/>
  <c r="G59" i="4"/>
  <c r="G60" i="4" s="1"/>
  <c r="G115" i="4"/>
  <c r="G116" i="4" s="1"/>
  <c r="H76" i="1"/>
  <c r="H77" i="1" s="1"/>
  <c r="H74" i="4"/>
  <c r="H83" i="4"/>
  <c r="I8" i="7"/>
  <c r="J4" i="27"/>
  <c r="H72" i="4"/>
  <c r="H63" i="4"/>
  <c r="H57" i="4"/>
  <c r="H56" i="4" s="1"/>
  <c r="H54" i="4"/>
  <c r="I37" i="1"/>
  <c r="I36" i="1" s="1"/>
  <c r="I34" i="1"/>
  <c r="I41" i="1"/>
  <c r="J73" i="4"/>
  <c r="J61" i="1"/>
  <c r="J63" i="1" s="1"/>
  <c r="J107" i="4"/>
  <c r="J88" i="1"/>
  <c r="J90" i="1" s="1"/>
  <c r="I88" i="4"/>
  <c r="I86" i="4"/>
  <c r="I59" i="1"/>
  <c r="I52" i="1"/>
  <c r="I55" i="1"/>
  <c r="I54" i="1" s="1"/>
  <c r="H119" i="4"/>
  <c r="H128" i="4"/>
  <c r="H106" i="4"/>
  <c r="H97" i="4"/>
  <c r="H104" i="4" s="1"/>
  <c r="H105" i="4" s="1"/>
  <c r="H76" i="4"/>
  <c r="H79" i="4"/>
  <c r="H78" i="4" s="1"/>
  <c r="I98" i="4"/>
  <c r="I100" i="4"/>
  <c r="J70" i="1"/>
  <c r="J72" i="1" s="1"/>
  <c r="J84" i="4"/>
  <c r="H39" i="1"/>
  <c r="H40" i="1" s="1"/>
  <c r="J7" i="27"/>
  <c r="I11" i="7"/>
  <c r="I78" i="1"/>
  <c r="I74" i="1"/>
  <c r="I73" i="1" s="1"/>
  <c r="I71" i="1"/>
  <c r="I76" i="1" s="1"/>
  <c r="I77" i="1" s="1"/>
  <c r="H94" i="4"/>
  <c r="H85" i="4"/>
  <c r="J17" i="4"/>
  <c r="J15" i="1"/>
  <c r="J17" i="1" s="1"/>
  <c r="I64" i="4"/>
  <c r="I66" i="4"/>
  <c r="I75" i="4"/>
  <c r="I77" i="4"/>
  <c r="H124" i="4"/>
  <c r="H123" i="4" s="1"/>
  <c r="H121" i="4"/>
  <c r="I98" i="1"/>
  <c r="I101" i="1"/>
  <c r="I100" i="1" s="1"/>
  <c r="I105" i="1"/>
  <c r="H9" i="4"/>
  <c r="H12" i="4"/>
  <c r="H11" i="4" s="1"/>
  <c r="I10" i="1"/>
  <c r="I9" i="1" s="1"/>
  <c r="I7" i="1"/>
  <c r="I14" i="1"/>
  <c r="I109" i="4"/>
  <c r="I111" i="4"/>
  <c r="J51" i="1"/>
  <c r="J53" i="1" s="1"/>
  <c r="J62" i="4"/>
  <c r="H34" i="4"/>
  <c r="H33" i="4" s="1"/>
  <c r="H31" i="4"/>
  <c r="G25" i="4"/>
  <c r="G26" i="4" s="1"/>
  <c r="I16" i="7"/>
  <c r="J12" i="27"/>
  <c r="I53" i="4"/>
  <c r="I55" i="4"/>
  <c r="H30" i="1"/>
  <c r="H31" i="1" s="1"/>
  <c r="J5" i="27"/>
  <c r="I9" i="7"/>
  <c r="G81" i="4"/>
  <c r="G82" i="4" s="1"/>
  <c r="H103" i="1"/>
  <c r="H104" i="1" s="1"/>
  <c r="J28" i="4"/>
  <c r="J24" i="1"/>
  <c r="J26" i="1" s="1"/>
  <c r="J97" i="1"/>
  <c r="J99" i="1" s="1"/>
  <c r="J118" i="4"/>
  <c r="G104" i="4"/>
  <c r="G105" i="4" s="1"/>
  <c r="I122" i="4"/>
  <c r="I120" i="4"/>
  <c r="H52" i="4"/>
  <c r="H61" i="4"/>
  <c r="H16" i="4"/>
  <c r="H7" i="4"/>
  <c r="H14" i="4" l="1"/>
  <c r="H15" i="4" s="1"/>
  <c r="I21" i="1"/>
  <c r="I22" i="1" s="1"/>
  <c r="I30" i="1"/>
  <c r="I31" i="1" s="1"/>
  <c r="I85" i="1"/>
  <c r="I86" i="1" s="1"/>
  <c r="J25" i="1"/>
  <c r="J28" i="1"/>
  <c r="J27" i="1" s="1"/>
  <c r="J32" i="1"/>
  <c r="I61" i="4"/>
  <c r="I52" i="4"/>
  <c r="I76" i="4"/>
  <c r="I79" i="4"/>
  <c r="I78" i="4" s="1"/>
  <c r="J19" i="1"/>
  <c r="J18" i="1" s="1"/>
  <c r="J23" i="1"/>
  <c r="J16" i="1"/>
  <c r="I99" i="4"/>
  <c r="I102" i="4"/>
  <c r="I101" i="4" s="1"/>
  <c r="J77" i="4"/>
  <c r="J75" i="4"/>
  <c r="J8" i="7"/>
  <c r="K4" i="27"/>
  <c r="K8" i="7" s="1"/>
  <c r="I16" i="4"/>
  <c r="I7" i="4"/>
  <c r="K11" i="27"/>
  <c r="K15" i="7" s="1"/>
  <c r="J15" i="7"/>
  <c r="K13" i="27"/>
  <c r="K17" i="7" s="1"/>
  <c r="J17" i="7"/>
  <c r="K9" i="27"/>
  <c r="K13" i="7" s="1"/>
  <c r="J13" i="7"/>
  <c r="J41" i="4"/>
  <c r="J43" i="4"/>
  <c r="J12" i="7"/>
  <c r="K8" i="27"/>
  <c r="K12" i="7" s="1"/>
  <c r="J30" i="4"/>
  <c r="J32" i="4"/>
  <c r="J9" i="7"/>
  <c r="K5" i="27"/>
  <c r="K9" i="7" s="1"/>
  <c r="J16" i="7"/>
  <c r="K12" i="27"/>
  <c r="K16" i="7" s="1"/>
  <c r="I108" i="4"/>
  <c r="I117" i="4"/>
  <c r="I103" i="1"/>
  <c r="I104" i="1" s="1"/>
  <c r="I83" i="4"/>
  <c r="I74" i="4"/>
  <c r="I81" i="4" s="1"/>
  <c r="I82" i="4" s="1"/>
  <c r="J19" i="4"/>
  <c r="J21" i="4"/>
  <c r="I106" i="4"/>
  <c r="I97" i="4"/>
  <c r="I57" i="1"/>
  <c r="I58" i="1" s="1"/>
  <c r="J89" i="1"/>
  <c r="J96" i="1"/>
  <c r="J92" i="1"/>
  <c r="J91" i="1" s="1"/>
  <c r="K6" i="1"/>
  <c r="K8" i="1" s="1"/>
  <c r="K6" i="4"/>
  <c r="K118" i="4"/>
  <c r="K97" i="1"/>
  <c r="K99" i="1" s="1"/>
  <c r="J80" i="1"/>
  <c r="J85" i="1" s="1"/>
  <c r="J86" i="1" s="1"/>
  <c r="J87" i="1"/>
  <c r="J83" i="1"/>
  <c r="J82" i="1" s="1"/>
  <c r="J50" i="1"/>
  <c r="J43" i="1"/>
  <c r="J48" i="1" s="1"/>
  <c r="J49" i="1" s="1"/>
  <c r="J46" i="1"/>
  <c r="J45" i="1" s="1"/>
  <c r="K61" i="1"/>
  <c r="K63" i="1" s="1"/>
  <c r="K73" i="4"/>
  <c r="I40" i="4"/>
  <c r="I49" i="4"/>
  <c r="J7" i="1"/>
  <c r="J10" i="1"/>
  <c r="J9" i="1" s="1"/>
  <c r="J14" i="1"/>
  <c r="I31" i="4"/>
  <c r="I34" i="4"/>
  <c r="I33" i="4" s="1"/>
  <c r="H59" i="4"/>
  <c r="H60" i="4" s="1"/>
  <c r="J122" i="4"/>
  <c r="J120" i="4"/>
  <c r="K96" i="4"/>
  <c r="K79" i="1"/>
  <c r="K81" i="1" s="1"/>
  <c r="J66" i="4"/>
  <c r="J64" i="4"/>
  <c r="I68" i="4"/>
  <c r="I67" i="4" s="1"/>
  <c r="I65" i="4"/>
  <c r="H92" i="4"/>
  <c r="H93" i="4" s="1"/>
  <c r="J88" i="4"/>
  <c r="J86" i="4"/>
  <c r="J111" i="4"/>
  <c r="J109" i="4"/>
  <c r="I39" i="1"/>
  <c r="I40" i="1" s="1"/>
  <c r="H70" i="4"/>
  <c r="H71" i="4" s="1"/>
  <c r="K14" i="27"/>
  <c r="K18" i="7" s="1"/>
  <c r="J18" i="7"/>
  <c r="I48" i="1"/>
  <c r="I49" i="1" s="1"/>
  <c r="J100" i="4"/>
  <c r="J98" i="4"/>
  <c r="J55" i="4"/>
  <c r="J53" i="4"/>
  <c r="I94" i="1"/>
  <c r="I95" i="1" s="1"/>
  <c r="H115" i="4"/>
  <c r="H116" i="4" s="1"/>
  <c r="I27" i="4"/>
  <c r="I18" i="4"/>
  <c r="J14" i="7"/>
  <c r="K10" i="27"/>
  <c r="K14" i="7" s="1"/>
  <c r="I45" i="4"/>
  <c r="I44" i="4" s="1"/>
  <c r="I42" i="4"/>
  <c r="J10" i="4"/>
  <c r="J8" i="4"/>
  <c r="H25" i="4"/>
  <c r="H26" i="4" s="1"/>
  <c r="I67" i="1"/>
  <c r="I68" i="1" s="1"/>
  <c r="I38" i="4"/>
  <c r="I29" i="4"/>
  <c r="I36" i="4" s="1"/>
  <c r="I37" i="4" s="1"/>
  <c r="I124" i="4"/>
  <c r="I123" i="4" s="1"/>
  <c r="I121" i="4"/>
  <c r="K17" i="4"/>
  <c r="K15" i="1"/>
  <c r="K17" i="1" s="1"/>
  <c r="I113" i="4"/>
  <c r="I112" i="4" s="1"/>
  <c r="I110" i="4"/>
  <c r="J11" i="7"/>
  <c r="K7" i="27"/>
  <c r="K11" i="7" s="1"/>
  <c r="I90" i="4"/>
  <c r="I89" i="4" s="1"/>
  <c r="I87" i="4"/>
  <c r="K24" i="1"/>
  <c r="K26" i="1" s="1"/>
  <c r="K28" i="4"/>
  <c r="I128" i="4"/>
  <c r="I119" i="4"/>
  <c r="J105" i="1"/>
  <c r="J98" i="1"/>
  <c r="J101" i="1"/>
  <c r="J100" i="1" s="1"/>
  <c r="I54" i="4"/>
  <c r="I57" i="4"/>
  <c r="I56" i="4" s="1"/>
  <c r="J52" i="1"/>
  <c r="J57" i="1" s="1"/>
  <c r="J58" i="1" s="1"/>
  <c r="J59" i="1"/>
  <c r="J55" i="1"/>
  <c r="J54" i="1" s="1"/>
  <c r="I12" i="1"/>
  <c r="I13" i="1" s="1"/>
  <c r="I63" i="4"/>
  <c r="I70" i="4" s="1"/>
  <c r="I71" i="4" s="1"/>
  <c r="I72" i="4"/>
  <c r="K33" i="1"/>
  <c r="K35" i="1" s="1"/>
  <c r="K39" i="4"/>
  <c r="J74" i="1"/>
  <c r="J73" i="1" s="1"/>
  <c r="J78" i="1"/>
  <c r="J71" i="1"/>
  <c r="H126" i="4"/>
  <c r="H127" i="4" s="1"/>
  <c r="I85" i="4"/>
  <c r="I94" i="4"/>
  <c r="J69" i="1"/>
  <c r="J65" i="1"/>
  <c r="J64" i="1" s="1"/>
  <c r="J62" i="1"/>
  <c r="J67" i="1" s="1"/>
  <c r="J68" i="1" s="1"/>
  <c r="H81" i="4"/>
  <c r="H82" i="4" s="1"/>
  <c r="K6" i="27"/>
  <c r="K10" i="7" s="1"/>
  <c r="J10" i="7"/>
  <c r="H36" i="4"/>
  <c r="H37" i="4" s="1"/>
  <c r="I9" i="4"/>
  <c r="I12" i="4"/>
  <c r="I11" i="4" s="1"/>
  <c r="K84" i="4"/>
  <c r="K70" i="1"/>
  <c r="K72" i="1" s="1"/>
  <c r="I23" i="4"/>
  <c r="I22" i="4" s="1"/>
  <c r="I20" i="4"/>
  <c r="K88" i="1"/>
  <c r="K90" i="1" s="1"/>
  <c r="K107" i="4"/>
  <c r="K62" i="4"/>
  <c r="K51" i="1"/>
  <c r="K53" i="1" s="1"/>
  <c r="J41" i="1"/>
  <c r="J37" i="1"/>
  <c r="J36" i="1" s="1"/>
  <c r="J34" i="1"/>
  <c r="J39" i="1" s="1"/>
  <c r="J40" i="1" s="1"/>
  <c r="K51" i="4"/>
  <c r="K42" i="1"/>
  <c r="K44" i="1" s="1"/>
  <c r="J30" i="1" l="1"/>
  <c r="J31" i="1" s="1"/>
  <c r="L118" i="4"/>
  <c r="L97" i="1"/>
  <c r="L99" i="1" s="1"/>
  <c r="J124" i="4"/>
  <c r="J123" i="4" s="1"/>
  <c r="J121" i="4"/>
  <c r="K7" i="1"/>
  <c r="K14" i="1"/>
  <c r="K10" i="1"/>
  <c r="K9" i="1" s="1"/>
  <c r="J18" i="4"/>
  <c r="J27" i="4"/>
  <c r="M17" i="4"/>
  <c r="M15" i="1"/>
  <c r="M17" i="1" s="1"/>
  <c r="L62" i="4"/>
  <c r="L51" i="1"/>
  <c r="L53" i="1" s="1"/>
  <c r="M6" i="4"/>
  <c r="M6" i="1"/>
  <c r="M8" i="1" s="1"/>
  <c r="K78" i="1"/>
  <c r="K74" i="1"/>
  <c r="K73" i="1" s="1"/>
  <c r="K71" i="1"/>
  <c r="I92" i="4"/>
  <c r="I93" i="4" s="1"/>
  <c r="M33" i="1"/>
  <c r="M35" i="1" s="1"/>
  <c r="M39" i="4"/>
  <c r="J7" i="4"/>
  <c r="J16" i="4"/>
  <c r="J106" i="4"/>
  <c r="J97" i="4"/>
  <c r="M118" i="4"/>
  <c r="M97" i="1"/>
  <c r="M99" i="1" s="1"/>
  <c r="J113" i="4"/>
  <c r="J112" i="4" s="1"/>
  <c r="J110" i="4"/>
  <c r="K83" i="1"/>
  <c r="K82" i="1" s="1"/>
  <c r="K87" i="1"/>
  <c r="K80" i="1"/>
  <c r="K75" i="4"/>
  <c r="K77" i="4"/>
  <c r="K105" i="1"/>
  <c r="K98" i="1"/>
  <c r="K101" i="1"/>
  <c r="K100" i="1" s="1"/>
  <c r="I104" i="4"/>
  <c r="I105" i="4" s="1"/>
  <c r="I115" i="4"/>
  <c r="I116" i="4" s="1"/>
  <c r="L15" i="1"/>
  <c r="L17" i="1" s="1"/>
  <c r="L17" i="4"/>
  <c r="L42" i="1"/>
  <c r="L44" i="1" s="1"/>
  <c r="L51" i="4"/>
  <c r="M62" i="4"/>
  <c r="M51" i="1"/>
  <c r="M53" i="1" s="1"/>
  <c r="M84" i="4"/>
  <c r="M70" i="1"/>
  <c r="M72" i="1" s="1"/>
  <c r="L6" i="4"/>
  <c r="L6" i="1"/>
  <c r="L8" i="1" s="1"/>
  <c r="K46" i="1"/>
  <c r="K45" i="1" s="1"/>
  <c r="K43" i="1"/>
  <c r="K48" i="1" s="1"/>
  <c r="K49" i="1" s="1"/>
  <c r="K50" i="1"/>
  <c r="K92" i="1"/>
  <c r="K91" i="1" s="1"/>
  <c r="K89" i="1"/>
  <c r="K96" i="1"/>
  <c r="K86" i="4"/>
  <c r="K88" i="4"/>
  <c r="L24" i="1"/>
  <c r="L26" i="1" s="1"/>
  <c r="L28" i="4"/>
  <c r="K41" i="4"/>
  <c r="K43" i="4"/>
  <c r="K28" i="1"/>
  <c r="K27" i="1" s="1"/>
  <c r="K32" i="1"/>
  <c r="K25" i="1"/>
  <c r="L33" i="1"/>
  <c r="L35" i="1" s="1"/>
  <c r="L39" i="4"/>
  <c r="K21" i="4"/>
  <c r="K19" i="4"/>
  <c r="J12" i="4"/>
  <c r="J11" i="4" s="1"/>
  <c r="J9" i="4"/>
  <c r="L61" i="1"/>
  <c r="L63" i="1" s="1"/>
  <c r="L73" i="4"/>
  <c r="J99" i="4"/>
  <c r="J102" i="4"/>
  <c r="J101" i="4" s="1"/>
  <c r="J94" i="4"/>
  <c r="J85" i="4"/>
  <c r="K98" i="4"/>
  <c r="K100" i="4"/>
  <c r="J12" i="1"/>
  <c r="J13" i="1" s="1"/>
  <c r="K62" i="1"/>
  <c r="K65" i="1"/>
  <c r="K64" i="1" s="1"/>
  <c r="K69" i="1"/>
  <c r="K120" i="4"/>
  <c r="K122" i="4"/>
  <c r="M96" i="4"/>
  <c r="M79" i="1"/>
  <c r="M81" i="1" s="1"/>
  <c r="J31" i="4"/>
  <c r="J34" i="4"/>
  <c r="J33" i="4" s="1"/>
  <c r="J45" i="4"/>
  <c r="J44" i="4" s="1"/>
  <c r="J42" i="4"/>
  <c r="L107" i="4"/>
  <c r="L88" i="1"/>
  <c r="L90" i="1" s="1"/>
  <c r="I14" i="4"/>
  <c r="I15" i="4" s="1"/>
  <c r="J83" i="4"/>
  <c r="J74" i="4"/>
  <c r="J21" i="1"/>
  <c r="J22" i="1" s="1"/>
  <c r="K64" i="4"/>
  <c r="K66" i="4"/>
  <c r="J54" i="4"/>
  <c r="J57" i="4"/>
  <c r="J56" i="4" s="1"/>
  <c r="J117" i="4"/>
  <c r="J108" i="4"/>
  <c r="J65" i="4"/>
  <c r="J68" i="4"/>
  <c r="J67" i="4" s="1"/>
  <c r="I47" i="4"/>
  <c r="I48" i="4" s="1"/>
  <c r="M51" i="4"/>
  <c r="M42" i="1"/>
  <c r="M44" i="1" s="1"/>
  <c r="L84" i="4"/>
  <c r="L70" i="1"/>
  <c r="L72" i="1" s="1"/>
  <c r="K109" i="4"/>
  <c r="K111" i="4"/>
  <c r="J103" i="1"/>
  <c r="J104" i="1" s="1"/>
  <c r="K32" i="4"/>
  <c r="K30" i="4"/>
  <c r="K19" i="1"/>
  <c r="K18" i="1" s="1"/>
  <c r="K23" i="1"/>
  <c r="K16" i="1"/>
  <c r="M73" i="4"/>
  <c r="M61" i="1"/>
  <c r="M63" i="1" s="1"/>
  <c r="K53" i="4"/>
  <c r="K55" i="4"/>
  <c r="K52" i="1"/>
  <c r="K59" i="1"/>
  <c r="K55" i="1"/>
  <c r="K54" i="1" s="1"/>
  <c r="M28" i="4"/>
  <c r="M24" i="1"/>
  <c r="M26" i="1" s="1"/>
  <c r="J76" i="1"/>
  <c r="J77" i="1" s="1"/>
  <c r="K37" i="1"/>
  <c r="K36" i="1" s="1"/>
  <c r="K41" i="1"/>
  <c r="K34" i="1"/>
  <c r="I126" i="4"/>
  <c r="I127" i="4" s="1"/>
  <c r="I25" i="4"/>
  <c r="I26" i="4" s="1"/>
  <c r="J61" i="4"/>
  <c r="J52" i="4"/>
  <c r="J87" i="4"/>
  <c r="J90" i="4"/>
  <c r="J89" i="4" s="1"/>
  <c r="J72" i="4"/>
  <c r="J63" i="4"/>
  <c r="J128" i="4"/>
  <c r="J119" i="4"/>
  <c r="K8" i="4"/>
  <c r="K10" i="4"/>
  <c r="J94" i="1"/>
  <c r="J95" i="1" s="1"/>
  <c r="J23" i="4"/>
  <c r="J22" i="4" s="1"/>
  <c r="J20" i="4"/>
  <c r="L96" i="4"/>
  <c r="L79" i="1"/>
  <c r="L81" i="1" s="1"/>
  <c r="J38" i="4"/>
  <c r="J29" i="4"/>
  <c r="J49" i="4"/>
  <c r="J40" i="4"/>
  <c r="J47" i="4" s="1"/>
  <c r="J48" i="4" s="1"/>
  <c r="M88" i="1"/>
  <c r="M90" i="1" s="1"/>
  <c r="M107" i="4"/>
  <c r="J76" i="4"/>
  <c r="J79" i="4"/>
  <c r="J78" i="4" s="1"/>
  <c r="I59" i="4"/>
  <c r="I60" i="4" s="1"/>
  <c r="J126" i="4" l="1"/>
  <c r="J127" i="4" s="1"/>
  <c r="K67" i="1"/>
  <c r="K68" i="1" s="1"/>
  <c r="K30" i="1"/>
  <c r="K31" i="1" s="1"/>
  <c r="K103" i="1"/>
  <c r="K104" i="1" s="1"/>
  <c r="K85" i="1"/>
  <c r="K86" i="1" s="1"/>
  <c r="M89" i="1"/>
  <c r="M96" i="1"/>
  <c r="M92" i="1"/>
  <c r="M91" i="1" s="1"/>
  <c r="K61" i="4"/>
  <c r="K52" i="4"/>
  <c r="L88" i="4"/>
  <c r="L86" i="4"/>
  <c r="L77" i="4"/>
  <c r="L75" i="4"/>
  <c r="K18" i="4"/>
  <c r="K27" i="4"/>
  <c r="K49" i="4"/>
  <c r="K40" i="4"/>
  <c r="M66" i="4"/>
  <c r="M64" i="4"/>
  <c r="M41" i="1"/>
  <c r="M37" i="1"/>
  <c r="M36" i="1" s="1"/>
  <c r="M34" i="1"/>
  <c r="L66" i="4"/>
  <c r="L64" i="4"/>
  <c r="J25" i="4"/>
  <c r="J26" i="4" s="1"/>
  <c r="M69" i="1"/>
  <c r="M62" i="1"/>
  <c r="M65" i="1"/>
  <c r="M64" i="1" s="1"/>
  <c r="K110" i="4"/>
  <c r="K113" i="4"/>
  <c r="K112" i="4" s="1"/>
  <c r="M50" i="1"/>
  <c r="M46" i="1"/>
  <c r="M45" i="1" s="1"/>
  <c r="M43" i="1"/>
  <c r="J81" i="4"/>
  <c r="J82" i="4" s="1"/>
  <c r="L109" i="4"/>
  <c r="L111" i="4"/>
  <c r="K128" i="4"/>
  <c r="K119" i="4"/>
  <c r="L69" i="1"/>
  <c r="L62" i="1"/>
  <c r="L65" i="1"/>
  <c r="L64" i="1" s="1"/>
  <c r="K20" i="4"/>
  <c r="K23" i="4"/>
  <c r="K22" i="4" s="1"/>
  <c r="L30" i="4"/>
  <c r="L32" i="4"/>
  <c r="M71" i="1"/>
  <c r="M78" i="1"/>
  <c r="M74" i="1"/>
  <c r="M73" i="1" s="1"/>
  <c r="L55" i="4"/>
  <c r="L53" i="4"/>
  <c r="M98" i="1"/>
  <c r="M103" i="1" s="1"/>
  <c r="M104" i="1" s="1"/>
  <c r="M105" i="1"/>
  <c r="M101" i="1"/>
  <c r="M100" i="1" s="1"/>
  <c r="M7" i="1"/>
  <c r="M10" i="1"/>
  <c r="M9" i="1" s="1"/>
  <c r="M14" i="1"/>
  <c r="M23" i="1"/>
  <c r="M16" i="1"/>
  <c r="M19" i="1"/>
  <c r="M18" i="1" s="1"/>
  <c r="L100" i="4"/>
  <c r="L98" i="4"/>
  <c r="K12" i="4"/>
  <c r="K11" i="4" s="1"/>
  <c r="K9" i="4"/>
  <c r="J70" i="4"/>
  <c r="J71" i="4" s="1"/>
  <c r="J59" i="4"/>
  <c r="J60" i="4" s="1"/>
  <c r="K39" i="1"/>
  <c r="K40" i="1" s="1"/>
  <c r="M28" i="1"/>
  <c r="M27" i="1" s="1"/>
  <c r="M25" i="1"/>
  <c r="M32" i="1"/>
  <c r="K57" i="1"/>
  <c r="K58" i="1" s="1"/>
  <c r="M75" i="4"/>
  <c r="M77" i="4"/>
  <c r="K29" i="4"/>
  <c r="K38" i="4"/>
  <c r="K117" i="4"/>
  <c r="K108" i="4"/>
  <c r="K115" i="4" s="1"/>
  <c r="K116" i="4" s="1"/>
  <c r="M53" i="4"/>
  <c r="M55" i="4"/>
  <c r="J115" i="4"/>
  <c r="J116" i="4" s="1"/>
  <c r="K68" i="4"/>
  <c r="K67" i="4" s="1"/>
  <c r="K65" i="4"/>
  <c r="M80" i="1"/>
  <c r="M87" i="1"/>
  <c r="M83" i="1"/>
  <c r="M82" i="1" s="1"/>
  <c r="K99" i="4"/>
  <c r="K102" i="4"/>
  <c r="K101" i="4" s="1"/>
  <c r="L41" i="4"/>
  <c r="L43" i="4"/>
  <c r="L32" i="1"/>
  <c r="L25" i="1"/>
  <c r="L28" i="1"/>
  <c r="L27" i="1" s="1"/>
  <c r="K94" i="1"/>
  <c r="K95" i="1" s="1"/>
  <c r="M86" i="4"/>
  <c r="M88" i="4"/>
  <c r="L46" i="1"/>
  <c r="L45" i="1" s="1"/>
  <c r="L43" i="1"/>
  <c r="L50" i="1"/>
  <c r="K76" i="4"/>
  <c r="K79" i="4"/>
  <c r="K78" i="4" s="1"/>
  <c r="M120" i="4"/>
  <c r="M122" i="4"/>
  <c r="J14" i="4"/>
  <c r="J15" i="4" s="1"/>
  <c r="K76" i="1"/>
  <c r="K77" i="1" s="1"/>
  <c r="M10" i="4"/>
  <c r="M8" i="4"/>
  <c r="M21" i="4"/>
  <c r="M19" i="4"/>
  <c r="L105" i="1"/>
  <c r="L101" i="1"/>
  <c r="L100" i="1" s="1"/>
  <c r="L98" i="1"/>
  <c r="L89" i="1"/>
  <c r="L94" i="1" s="1"/>
  <c r="L95" i="1" s="1"/>
  <c r="L96" i="1"/>
  <c r="L92" i="1"/>
  <c r="L91" i="1" s="1"/>
  <c r="K124" i="4"/>
  <c r="K123" i="4" s="1"/>
  <c r="K121" i="4"/>
  <c r="J92" i="4"/>
  <c r="J93" i="4" s="1"/>
  <c r="K94" i="4"/>
  <c r="K85" i="4"/>
  <c r="L10" i="4"/>
  <c r="L8" i="4"/>
  <c r="L23" i="1"/>
  <c r="L16" i="1"/>
  <c r="L19" i="1"/>
  <c r="L18" i="1" s="1"/>
  <c r="L87" i="1"/>
  <c r="L83" i="1"/>
  <c r="L82" i="1" s="1"/>
  <c r="L80" i="1"/>
  <c r="M109" i="4"/>
  <c r="M111" i="4"/>
  <c r="J36" i="4"/>
  <c r="J37" i="4" s="1"/>
  <c r="K7" i="4"/>
  <c r="K16" i="4"/>
  <c r="M32" i="4"/>
  <c r="M30" i="4"/>
  <c r="K54" i="4"/>
  <c r="K57" i="4"/>
  <c r="K56" i="4" s="1"/>
  <c r="K21" i="1"/>
  <c r="K22" i="1" s="1"/>
  <c r="K31" i="4"/>
  <c r="K34" i="4"/>
  <c r="K33" i="4" s="1"/>
  <c r="L74" i="1"/>
  <c r="L73" i="1" s="1"/>
  <c r="L78" i="1"/>
  <c r="L71" i="1"/>
  <c r="K72" i="4"/>
  <c r="K63" i="4"/>
  <c r="M98" i="4"/>
  <c r="M100" i="4"/>
  <c r="K97" i="4"/>
  <c r="K104" i="4" s="1"/>
  <c r="K105" i="4" s="1"/>
  <c r="K106" i="4"/>
  <c r="L41" i="1"/>
  <c r="L37" i="1"/>
  <c r="L36" i="1" s="1"/>
  <c r="L34" i="1"/>
  <c r="K42" i="4"/>
  <c r="K45" i="4"/>
  <c r="K44" i="4" s="1"/>
  <c r="K87" i="4"/>
  <c r="K90" i="4"/>
  <c r="K89" i="4" s="1"/>
  <c r="L14" i="1"/>
  <c r="L7" i="1"/>
  <c r="L12" i="1" s="1"/>
  <c r="L13" i="1" s="1"/>
  <c r="L10" i="1"/>
  <c r="L9" i="1" s="1"/>
  <c r="M59" i="1"/>
  <c r="M55" i="1"/>
  <c r="M54" i="1" s="1"/>
  <c r="M52" i="1"/>
  <c r="L19" i="4"/>
  <c r="L21" i="4"/>
  <c r="K83" i="4"/>
  <c r="K74" i="4"/>
  <c r="J104" i="4"/>
  <c r="J105" i="4" s="1"/>
  <c r="M41" i="4"/>
  <c r="M43" i="4"/>
  <c r="L59" i="1"/>
  <c r="L52" i="1"/>
  <c r="L55" i="1"/>
  <c r="L54" i="1" s="1"/>
  <c r="K12" i="1"/>
  <c r="K13" i="1" s="1"/>
  <c r="L122" i="4"/>
  <c r="L120" i="4"/>
  <c r="L57" i="1" l="1"/>
  <c r="L58" i="1" s="1"/>
  <c r="K81" i="4"/>
  <c r="K82" i="4" s="1"/>
  <c r="M57" i="1"/>
  <c r="M58" i="1" s="1"/>
  <c r="L48" i="1"/>
  <c r="L49" i="1" s="1"/>
  <c r="M30" i="1"/>
  <c r="M31" i="1" s="1"/>
  <c r="L67" i="1"/>
  <c r="L68" i="1" s="1"/>
  <c r="M110" i="4"/>
  <c r="M113" i="4"/>
  <c r="M112" i="4" s="1"/>
  <c r="L16" i="4"/>
  <c r="L7" i="4"/>
  <c r="M9" i="4"/>
  <c r="M12" i="4"/>
  <c r="M11" i="4" s="1"/>
  <c r="L42" i="4"/>
  <c r="L45" i="4"/>
  <c r="L44" i="4" s="1"/>
  <c r="M79" i="4"/>
  <c r="M78" i="4" s="1"/>
  <c r="M76" i="4"/>
  <c r="L38" i="4"/>
  <c r="L29" i="4"/>
  <c r="L113" i="4"/>
  <c r="L112" i="4" s="1"/>
  <c r="L110" i="4"/>
  <c r="L76" i="4"/>
  <c r="L79" i="4"/>
  <c r="L78" i="4" s="1"/>
  <c r="L9" i="4"/>
  <c r="L12" i="4"/>
  <c r="L11" i="4" s="1"/>
  <c r="M18" i="4"/>
  <c r="M27" i="4"/>
  <c r="L40" i="4"/>
  <c r="L49" i="4"/>
  <c r="L117" i="4"/>
  <c r="L108" i="4"/>
  <c r="M67" i="1"/>
  <c r="M68" i="1" s="1"/>
  <c r="L65" i="4"/>
  <c r="L68" i="4"/>
  <c r="L67" i="4" s="1"/>
  <c r="M72" i="4"/>
  <c r="M63" i="4"/>
  <c r="L85" i="4"/>
  <c r="L94" i="4"/>
  <c r="M49" i="4"/>
  <c r="M40" i="4"/>
  <c r="L20" i="4"/>
  <c r="L23" i="4"/>
  <c r="L22" i="4" s="1"/>
  <c r="L39" i="1"/>
  <c r="L40" i="1" s="1"/>
  <c r="K14" i="4"/>
  <c r="K15" i="4" s="1"/>
  <c r="L85" i="1"/>
  <c r="L86" i="1" s="1"/>
  <c r="L21" i="1"/>
  <c r="L22" i="1" s="1"/>
  <c r="K92" i="4"/>
  <c r="K93" i="4" s="1"/>
  <c r="L103" i="1"/>
  <c r="L104" i="1" s="1"/>
  <c r="M20" i="4"/>
  <c r="M23" i="4"/>
  <c r="M22" i="4" s="1"/>
  <c r="M90" i="4"/>
  <c r="M89" i="4" s="1"/>
  <c r="M87" i="4"/>
  <c r="L30" i="1"/>
  <c r="L31" i="1" s="1"/>
  <c r="M85" i="1"/>
  <c r="M86" i="1" s="1"/>
  <c r="M57" i="4"/>
  <c r="M56" i="4" s="1"/>
  <c r="M54" i="4"/>
  <c r="M21" i="1"/>
  <c r="M22" i="1" s="1"/>
  <c r="M12" i="1"/>
  <c r="M13" i="1" s="1"/>
  <c r="L61" i="4"/>
  <c r="L52" i="4"/>
  <c r="M76" i="1"/>
  <c r="M77" i="1" s="1"/>
  <c r="K126" i="4"/>
  <c r="K127" i="4" s="1"/>
  <c r="M39" i="1"/>
  <c r="M40" i="1" s="1"/>
  <c r="M68" i="4"/>
  <c r="M67" i="4" s="1"/>
  <c r="M65" i="4"/>
  <c r="K25" i="4"/>
  <c r="K26" i="4" s="1"/>
  <c r="L87" i="4"/>
  <c r="L90" i="4"/>
  <c r="L89" i="4" s="1"/>
  <c r="L121" i="4"/>
  <c r="L124" i="4"/>
  <c r="L123" i="4" s="1"/>
  <c r="M106" i="4"/>
  <c r="M97" i="4"/>
  <c r="M34" i="4"/>
  <c r="M33" i="4" s="1"/>
  <c r="M31" i="4"/>
  <c r="M128" i="4"/>
  <c r="M119" i="4"/>
  <c r="L99" i="4"/>
  <c r="L102" i="4"/>
  <c r="L101" i="4" s="1"/>
  <c r="L72" i="4"/>
  <c r="L63" i="4"/>
  <c r="M42" i="4"/>
  <c r="M45" i="4"/>
  <c r="M44" i="4" s="1"/>
  <c r="K70" i="4"/>
  <c r="K71" i="4" s="1"/>
  <c r="M117" i="4"/>
  <c r="M108" i="4"/>
  <c r="M115" i="4" s="1"/>
  <c r="M116" i="4" s="1"/>
  <c r="M83" i="4"/>
  <c r="M74" i="4"/>
  <c r="L128" i="4"/>
  <c r="L119" i="4"/>
  <c r="L27" i="4"/>
  <c r="L18" i="4"/>
  <c r="M99" i="4"/>
  <c r="M102" i="4"/>
  <c r="M101" i="4" s="1"/>
  <c r="L76" i="1"/>
  <c r="L77" i="1" s="1"/>
  <c r="M38" i="4"/>
  <c r="M29" i="4"/>
  <c r="M16" i="4"/>
  <c r="M7" i="4"/>
  <c r="M121" i="4"/>
  <c r="M124" i="4"/>
  <c r="M123" i="4" s="1"/>
  <c r="M94" i="4"/>
  <c r="M85" i="4"/>
  <c r="M61" i="4"/>
  <c r="M52" i="4"/>
  <c r="K36" i="4"/>
  <c r="K37" i="4" s="1"/>
  <c r="L97" i="4"/>
  <c r="L106" i="4"/>
  <c r="L54" i="4"/>
  <c r="L57" i="4"/>
  <c r="L56" i="4" s="1"/>
  <c r="L31" i="4"/>
  <c r="L34" i="4"/>
  <c r="L33" i="4" s="1"/>
  <c r="M48" i="1"/>
  <c r="M49" i="1" s="1"/>
  <c r="K47" i="4"/>
  <c r="K48" i="4" s="1"/>
  <c r="L83" i="4"/>
  <c r="L74" i="4"/>
  <c r="L81" i="4" s="1"/>
  <c r="L82" i="4" s="1"/>
  <c r="K59" i="4"/>
  <c r="K60" i="4" s="1"/>
  <c r="M94" i="1"/>
  <c r="M95" i="1" s="1"/>
  <c r="L25" i="4" l="1"/>
  <c r="L26" i="4" s="1"/>
  <c r="L115" i="4"/>
  <c r="L116" i="4" s="1"/>
  <c r="L14" i="4"/>
  <c r="L15" i="4" s="1"/>
  <c r="M81" i="4"/>
  <c r="M82" i="4" s="1"/>
  <c r="L104" i="4"/>
  <c r="L105" i="4" s="1"/>
  <c r="M14" i="4"/>
  <c r="M15" i="4" s="1"/>
  <c r="L36" i="4"/>
  <c r="L37" i="4" s="1"/>
  <c r="M92" i="4"/>
  <c r="M93" i="4" s="1"/>
  <c r="M25" i="4"/>
  <c r="M26" i="4" s="1"/>
  <c r="L126" i="4"/>
  <c r="L127" i="4" s="1"/>
  <c r="L92" i="4"/>
  <c r="L93" i="4" s="1"/>
  <c r="M59" i="4"/>
  <c r="M60" i="4" s="1"/>
  <c r="M36" i="4"/>
  <c r="M37" i="4" s="1"/>
  <c r="L70" i="4"/>
  <c r="L71" i="4" s="1"/>
  <c r="M126" i="4"/>
  <c r="M127" i="4" s="1"/>
  <c r="M104" i="4"/>
  <c r="M105" i="4" s="1"/>
  <c r="L59" i="4"/>
  <c r="L60" i="4" s="1"/>
  <c r="M47" i="4"/>
  <c r="M48" i="4" s="1"/>
  <c r="M70" i="4"/>
  <c r="M71" i="4" s="1"/>
  <c r="L47" i="4"/>
  <c r="L4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26" authorId="0" shapeId="0" xr:uid="{00000000-0006-0000-0000-000001000000}">
      <text>
        <r>
          <rPr>
            <b/>
            <sz val="8"/>
            <color indexed="81"/>
            <rFont val="Tahoma"/>
            <charset val="1"/>
          </rPr>
          <t>Select 72, 60, or 56</t>
        </r>
      </text>
    </comment>
    <comment ref="C28" authorId="0" shapeId="0" xr:uid="{00000000-0006-0000-0000-000002000000}">
      <text>
        <r>
          <rPr>
            <b/>
            <sz val="8"/>
            <color indexed="81"/>
            <rFont val="Tahoma"/>
            <charset val="1"/>
          </rPr>
          <t>Select 60 or 56</t>
        </r>
      </text>
    </comment>
    <comment ref="C46" authorId="0" shapeId="0" xr:uid="{00000000-0006-0000-0000-000003000000}">
      <text>
        <r>
          <rPr>
            <b/>
            <sz val="8"/>
            <color indexed="81"/>
            <rFont val="Tahoma"/>
            <charset val="1"/>
          </rPr>
          <t>Choose an area from the provided list, which will automatically select the correct Locality/COLA rate.  To manually change the rate for future raises, enter the new rate (no %) in the space below.  Please note that you must still select the appropriate area.</t>
        </r>
      </text>
    </comment>
    <comment ref="G48" authorId="0" shapeId="0" xr:uid="{00000000-0006-0000-0000-000004000000}">
      <text>
        <r>
          <rPr>
            <b/>
            <sz val="8"/>
            <color indexed="81"/>
            <rFont val="Tahoma"/>
            <charset val="1"/>
          </rPr>
          <t>This block is used to manually change the locality rate starting next year.  Do not use in 2008!</t>
        </r>
      </text>
    </comment>
    <comment ref="C54" authorId="0" shapeId="0" xr:uid="{00000000-0006-0000-0000-000005000000}">
      <text>
        <r>
          <rPr>
            <b/>
            <sz val="8"/>
            <color indexed="81"/>
            <rFont val="Tahoma"/>
            <charset val="1"/>
          </rPr>
          <t>Select 26 or 27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6" authorId="0" shapeId="0" xr:uid="{00000000-0006-0000-0600-000001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7" authorId="0" shapeId="0" xr:uid="{00000000-0006-0000-0600-000002000000}">
      <text>
        <r>
          <rPr>
            <b/>
            <sz val="8"/>
            <color indexed="81"/>
            <rFont val="Tahoma"/>
            <charset val="1"/>
          </rPr>
          <t xml:space="preserve">FF PAY refers to the amount earned for 106 hours a pay period (53 a week).  It is approximately the same pay 40-hour a week employees earn.  On your LES, it is referred to as "REGULAR PAY."
</t>
        </r>
      </text>
    </comment>
    <comment ref="C8" authorId="0" shapeId="0" xr:uid="{00000000-0006-0000-0600-000003000000}">
      <text>
        <r>
          <rPr>
            <b/>
            <sz val="8"/>
            <color indexed="81"/>
            <rFont val="Tahoma"/>
            <charset val="1"/>
          </rPr>
          <t xml:space="preserve">FF RATE refers to the hourly pay actually received for the first 106 hours.  It is less than the normal GS rate.
</t>
        </r>
      </text>
    </comment>
    <comment ref="C9" authorId="0" shapeId="0" xr:uid="{00000000-0006-0000-0600-000004000000}">
      <text>
        <r>
          <rPr>
            <b/>
            <sz val="8"/>
            <color indexed="81"/>
            <rFont val="Tahoma"/>
            <charset val="1"/>
          </rPr>
          <t xml:space="preserve">OT PAY refers to overtime pay earned for all hours beyond 106.  On your LES, it is referred to as "OT IN TOUR."
</t>
        </r>
      </text>
    </comment>
    <comment ref="C10" authorId="0" shapeId="0" xr:uid="{00000000-0006-0000-0600-000005000000}">
      <text>
        <r>
          <rPr>
            <b/>
            <sz val="8"/>
            <color indexed="81"/>
            <rFont val="Tahoma"/>
            <charset val="1"/>
          </rPr>
          <t>OT RATE refers to 1 1/2 times the FF hourly rate.  It is less than GS overtime.</t>
        </r>
      </text>
    </comment>
    <comment ref="C11" authorId="0" shapeId="0" xr:uid="{00000000-0006-0000-0600-000006000000}">
      <text>
        <r>
          <rPr>
            <b/>
            <sz val="8"/>
            <color indexed="81"/>
            <rFont val="Tahoma"/>
            <charset val="1"/>
          </rPr>
          <t xml:space="preserve">COLA refers to the Non-Foreign Cost of Living Allowance federal workers receive when employed outside the continental U.S.
</t>
        </r>
      </text>
    </comment>
    <comment ref="C12" authorId="0" shapeId="0" xr:uid="{00000000-0006-0000-0600-000007000000}">
      <text>
        <r>
          <rPr>
            <b/>
            <sz val="8"/>
            <color indexed="81"/>
            <rFont val="Tahoma"/>
            <charset val="1"/>
          </rPr>
          <t xml:space="preserve">PAY PERIOD refers to the actual gross pay you should receive each pay period.  It is derived by adding FF and OT pay together plus COLA (if applicable).
</t>
        </r>
      </text>
    </comment>
    <comment ref="C13" authorId="0" shapeId="0" xr:uid="{00000000-0006-0000-0600-000008000000}">
      <text>
        <r>
          <rPr>
            <b/>
            <sz val="8"/>
            <color indexed="81"/>
            <rFont val="Tahoma"/>
            <charset val="1"/>
          </rPr>
          <t xml:space="preserve">ANNUAL PAY refers to the actual gross pay you should receive for 26 or 27 (if applicable) pay periods.  
</t>
        </r>
      </text>
    </comment>
    <comment ref="C14" authorId="0" shapeId="0" xr:uid="{00000000-0006-0000-0600-000009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15" authorId="0" shapeId="0" xr:uid="{00000000-0006-0000-0600-00000A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16" authorId="0" shapeId="0" xr:uid="{00000000-0006-0000-0600-00000B000000}">
      <text>
        <r>
          <rPr>
            <b/>
            <sz val="8"/>
            <color indexed="81"/>
            <rFont val="Tahoma"/>
            <charset val="1"/>
          </rPr>
          <t xml:space="preserve">FF PAY refers to the amount earned for 106 hours a pay period (53 a week).  It is approximately the same pay 40-hour a week employees earn.  On your LES, it is referred to as "REGULAR PAY."
</t>
        </r>
      </text>
    </comment>
    <comment ref="C17" authorId="0" shapeId="0" xr:uid="{00000000-0006-0000-0600-00000C000000}">
      <text>
        <r>
          <rPr>
            <b/>
            <sz val="8"/>
            <color indexed="81"/>
            <rFont val="Tahoma"/>
            <charset val="1"/>
          </rPr>
          <t xml:space="preserve">FF RATE refers to the hourly pay actually received for the first 106 hours.  It is less than the normal GS rate.
</t>
        </r>
      </text>
    </comment>
    <comment ref="C18" authorId="0" shapeId="0" xr:uid="{00000000-0006-0000-0600-00000D000000}">
      <text>
        <r>
          <rPr>
            <b/>
            <sz val="8"/>
            <color indexed="81"/>
            <rFont val="Tahoma"/>
            <charset val="1"/>
          </rPr>
          <t xml:space="preserve">OT PAY refers to overtime pay earned for all hours beyond 106.  On your LES, it is referred to as "OT IN TOUR."
</t>
        </r>
      </text>
    </comment>
    <comment ref="C19" authorId="0" shapeId="0" xr:uid="{00000000-0006-0000-0600-00000E000000}">
      <text>
        <r>
          <rPr>
            <b/>
            <sz val="8"/>
            <color indexed="81"/>
            <rFont val="Tahoma"/>
            <charset val="1"/>
          </rPr>
          <t>OT RATE refers to 1 1/2 times the FF hourly rate.  It is less than GS overtime.</t>
        </r>
      </text>
    </comment>
    <comment ref="C20" authorId="0" shapeId="0" xr:uid="{00000000-0006-0000-0600-00000F000000}">
      <text>
        <r>
          <rPr>
            <b/>
            <sz val="8"/>
            <color indexed="81"/>
            <rFont val="Tahoma"/>
            <charset val="1"/>
          </rPr>
          <t xml:space="preserve">COLA refers to the Non-Foreign Cost of Living Allowance federal workers receive when employed outside the continental U.S.
</t>
        </r>
      </text>
    </comment>
    <comment ref="C21" authorId="0" shapeId="0" xr:uid="{00000000-0006-0000-0600-000010000000}">
      <text>
        <r>
          <rPr>
            <b/>
            <sz val="8"/>
            <color indexed="81"/>
            <rFont val="Tahoma"/>
            <charset val="1"/>
          </rPr>
          <t xml:space="preserve">PAY PERIOD refers to the actual gross pay you should receive each pay period.  It is derived by adding FF and OT pay together plus COLA (if applicable).
</t>
        </r>
      </text>
    </comment>
    <comment ref="C22" authorId="0" shapeId="0" xr:uid="{00000000-0006-0000-0600-000011000000}">
      <text>
        <r>
          <rPr>
            <b/>
            <sz val="8"/>
            <color indexed="81"/>
            <rFont val="Tahoma"/>
            <charset val="1"/>
          </rPr>
          <t xml:space="preserve">ANNUAL PAY refers to the actual gross pay you should receive for 26 or 27 (if applicable) pay periods.  
</t>
        </r>
      </text>
    </comment>
    <comment ref="C23" authorId="0" shapeId="0" xr:uid="{00000000-0006-0000-0600-000012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24" authorId="0" shapeId="0" xr:uid="{00000000-0006-0000-0600-000013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25" authorId="0" shapeId="0" xr:uid="{00000000-0006-0000-0600-000014000000}">
      <text>
        <r>
          <rPr>
            <b/>
            <sz val="8"/>
            <color indexed="81"/>
            <rFont val="Tahoma"/>
            <charset val="1"/>
          </rPr>
          <t xml:space="preserve">FF PAY refers to the amount earned for 106 hours a pay period (53 a week).  It is approximately the same pay 40-hour a week employees earn.  On your LES, it is referred to as "REGULAR PAY."
</t>
        </r>
      </text>
    </comment>
    <comment ref="C26" authorId="0" shapeId="0" xr:uid="{00000000-0006-0000-0600-000015000000}">
      <text>
        <r>
          <rPr>
            <b/>
            <sz val="8"/>
            <color indexed="81"/>
            <rFont val="Tahoma"/>
            <charset val="1"/>
          </rPr>
          <t xml:space="preserve">FF RATE refers to the hourly pay actually received for the first 106 hours.  It is less than the normal GS rate.
</t>
        </r>
      </text>
    </comment>
    <comment ref="C27" authorId="0" shapeId="0" xr:uid="{00000000-0006-0000-0600-000016000000}">
      <text>
        <r>
          <rPr>
            <b/>
            <sz val="8"/>
            <color indexed="81"/>
            <rFont val="Tahoma"/>
            <charset val="1"/>
          </rPr>
          <t xml:space="preserve">OT PAY refers to overtime pay earned for all hours beyond 106.  On your LES, it is referred to as "OT IN TOUR."
</t>
        </r>
      </text>
    </comment>
    <comment ref="C28" authorId="0" shapeId="0" xr:uid="{00000000-0006-0000-0600-000017000000}">
      <text>
        <r>
          <rPr>
            <b/>
            <sz val="8"/>
            <color indexed="81"/>
            <rFont val="Tahoma"/>
            <charset val="1"/>
          </rPr>
          <t>OT RATE refers to 1 1/2 times the FF hourly rate.  It is less than GS overtime.</t>
        </r>
      </text>
    </comment>
    <comment ref="C29" authorId="0" shapeId="0" xr:uid="{00000000-0006-0000-0600-000018000000}">
      <text>
        <r>
          <rPr>
            <b/>
            <sz val="8"/>
            <color indexed="81"/>
            <rFont val="Tahoma"/>
            <charset val="1"/>
          </rPr>
          <t xml:space="preserve">COLA refers to the Non-Foreign Cost of Living Allowance federal workers receive when employed outside the continental U.S.
</t>
        </r>
      </text>
    </comment>
    <comment ref="C30" authorId="0" shapeId="0" xr:uid="{00000000-0006-0000-0600-000019000000}">
      <text>
        <r>
          <rPr>
            <b/>
            <sz val="8"/>
            <color indexed="81"/>
            <rFont val="Tahoma"/>
            <charset val="1"/>
          </rPr>
          <t xml:space="preserve">PAY PERIOD refers to the actual gross pay you should receive each pay period.  It is derived by adding FF and OT pay together plus COLA (if applicable).
</t>
        </r>
      </text>
    </comment>
    <comment ref="C31" authorId="0" shapeId="0" xr:uid="{00000000-0006-0000-0600-00001A000000}">
      <text>
        <r>
          <rPr>
            <b/>
            <sz val="8"/>
            <color indexed="81"/>
            <rFont val="Tahoma"/>
            <charset val="1"/>
          </rPr>
          <t xml:space="preserve">ANNUAL PAY refers to the actual gross pay you should receive for 26 or 27 (if applicable) pay periods.  
</t>
        </r>
      </text>
    </comment>
    <comment ref="C32" authorId="0" shapeId="0" xr:uid="{00000000-0006-0000-0600-00001B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33" authorId="0" shapeId="0" xr:uid="{00000000-0006-0000-0600-00001C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34" authorId="0" shapeId="0" xr:uid="{00000000-0006-0000-0600-00001D000000}">
      <text>
        <r>
          <rPr>
            <b/>
            <sz val="8"/>
            <color indexed="81"/>
            <rFont val="Tahoma"/>
            <charset val="1"/>
          </rPr>
          <t xml:space="preserve">FF PAY refers to the amount earned for 106 hours a pay period (53 a week).  It is approximately the same pay 40-hour a week employees earn.  On your LES, it is referred to as "REGULAR PAY."
</t>
        </r>
      </text>
    </comment>
    <comment ref="C35" authorId="0" shapeId="0" xr:uid="{00000000-0006-0000-0600-00001E000000}">
      <text>
        <r>
          <rPr>
            <b/>
            <sz val="8"/>
            <color indexed="81"/>
            <rFont val="Tahoma"/>
            <charset val="1"/>
          </rPr>
          <t xml:space="preserve">FF RATE refers to the hourly pay actually received for the first 106 hours.  It is less than the normal GS rate.
</t>
        </r>
      </text>
    </comment>
    <comment ref="C36" authorId="0" shapeId="0" xr:uid="{00000000-0006-0000-0600-00001F000000}">
      <text>
        <r>
          <rPr>
            <b/>
            <sz val="8"/>
            <color indexed="81"/>
            <rFont val="Tahoma"/>
            <charset val="1"/>
          </rPr>
          <t xml:space="preserve">OT PAY refers to overtime pay earned for all hours beyond 106.  On your LES, it is referred to as "OT IN TOUR."
</t>
        </r>
      </text>
    </comment>
    <comment ref="C37" authorId="0" shapeId="0" xr:uid="{00000000-0006-0000-0600-000020000000}">
      <text>
        <r>
          <rPr>
            <b/>
            <sz val="8"/>
            <color indexed="81"/>
            <rFont val="Tahoma"/>
            <charset val="1"/>
          </rPr>
          <t>OT RATE refers to 1 1/2 times the FF hourly rate.  It is less than GS overtime.</t>
        </r>
      </text>
    </comment>
    <comment ref="C38" authorId="0" shapeId="0" xr:uid="{00000000-0006-0000-0600-000021000000}">
      <text>
        <r>
          <rPr>
            <b/>
            <sz val="8"/>
            <color indexed="81"/>
            <rFont val="Tahoma"/>
            <charset val="1"/>
          </rPr>
          <t xml:space="preserve">COLA refers to the Non-Foreign Cost of Living Allowance federal workers receive when employed outside the continental U.S.
</t>
        </r>
      </text>
    </comment>
    <comment ref="C39" authorId="0" shapeId="0" xr:uid="{00000000-0006-0000-0600-000022000000}">
      <text>
        <r>
          <rPr>
            <b/>
            <sz val="8"/>
            <color indexed="81"/>
            <rFont val="Tahoma"/>
            <charset val="1"/>
          </rPr>
          <t xml:space="preserve">PAY PERIOD refers to the actual gross pay you should receive each pay period.  It is derived by adding FF and OT pay together plus COLA (if applicable).
</t>
        </r>
      </text>
    </comment>
    <comment ref="C40" authorId="0" shapeId="0" xr:uid="{00000000-0006-0000-0600-000023000000}">
      <text>
        <r>
          <rPr>
            <b/>
            <sz val="8"/>
            <color indexed="81"/>
            <rFont val="Tahoma"/>
            <charset val="1"/>
          </rPr>
          <t xml:space="preserve">ANNUAL PAY refers to the actual gross pay you should receive for 26 or 27 (if applicable) pay periods.  
</t>
        </r>
      </text>
    </comment>
    <comment ref="C41" authorId="0" shapeId="0" xr:uid="{00000000-0006-0000-0600-000024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42" authorId="0" shapeId="0" xr:uid="{00000000-0006-0000-0600-000025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43" authorId="0" shapeId="0" xr:uid="{00000000-0006-0000-0600-000026000000}">
      <text>
        <r>
          <rPr>
            <b/>
            <sz val="8"/>
            <color indexed="81"/>
            <rFont val="Tahoma"/>
            <charset val="1"/>
          </rPr>
          <t xml:space="preserve">FF PAY refers to the amount earned for 106 hours a pay period (53 a week).  It is approximately the same pay 40-hour a week employees earn.  On your LES, it is referred to as "REGULAR PAY."
</t>
        </r>
      </text>
    </comment>
    <comment ref="C44" authorId="0" shapeId="0" xr:uid="{00000000-0006-0000-0600-000027000000}">
      <text>
        <r>
          <rPr>
            <b/>
            <sz val="8"/>
            <color indexed="81"/>
            <rFont val="Tahoma"/>
            <charset val="1"/>
          </rPr>
          <t xml:space="preserve">FF RATE refers to the hourly pay actually received for the first 106 hours.  It is less than the normal GS rate.
</t>
        </r>
      </text>
    </comment>
    <comment ref="C45" authorId="0" shapeId="0" xr:uid="{00000000-0006-0000-0600-000028000000}">
      <text>
        <r>
          <rPr>
            <b/>
            <sz val="8"/>
            <color indexed="81"/>
            <rFont val="Tahoma"/>
            <charset val="1"/>
          </rPr>
          <t xml:space="preserve">OT PAY refers to overtime pay earned for all hours beyond 106.  On your LES, it is referred to as "OT IN TOUR."
</t>
        </r>
      </text>
    </comment>
    <comment ref="C46" authorId="0" shapeId="0" xr:uid="{00000000-0006-0000-0600-000029000000}">
      <text>
        <r>
          <rPr>
            <b/>
            <sz val="8"/>
            <color indexed="81"/>
            <rFont val="Tahoma"/>
            <charset val="1"/>
          </rPr>
          <t>OT RATE refers to 1 1/2 times the FF hourly rate.  It is less than GS overtime.</t>
        </r>
      </text>
    </comment>
    <comment ref="C47" authorId="0" shapeId="0" xr:uid="{00000000-0006-0000-0600-00002A000000}">
      <text>
        <r>
          <rPr>
            <b/>
            <sz val="8"/>
            <color indexed="81"/>
            <rFont val="Tahoma"/>
            <charset val="1"/>
          </rPr>
          <t xml:space="preserve">COLA refers to the Non-Foreign Cost of Living Allowance federal workers receive when employed outside the continental U.S.
</t>
        </r>
      </text>
    </comment>
    <comment ref="C48" authorId="0" shapeId="0" xr:uid="{00000000-0006-0000-0600-00002B000000}">
      <text>
        <r>
          <rPr>
            <b/>
            <sz val="8"/>
            <color indexed="81"/>
            <rFont val="Tahoma"/>
            <charset val="1"/>
          </rPr>
          <t xml:space="preserve">PAY PERIOD refers to the actual gross pay you should receive each pay period.  It is derived by adding FF and OT pay together plus COLA (if applicable).
</t>
        </r>
      </text>
    </comment>
    <comment ref="C49" authorId="0" shapeId="0" xr:uid="{00000000-0006-0000-0600-00002C000000}">
      <text>
        <r>
          <rPr>
            <b/>
            <sz val="8"/>
            <color indexed="81"/>
            <rFont val="Tahoma"/>
            <charset val="1"/>
          </rPr>
          <t xml:space="preserve">ANNUAL PAY refers to the actual gross pay you should receive for 26 or 27 (if applicable) pay periods.  
</t>
        </r>
      </text>
    </comment>
    <comment ref="C50" authorId="0" shapeId="0" xr:uid="{00000000-0006-0000-0600-00002D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51" authorId="0" shapeId="0" xr:uid="{00000000-0006-0000-0600-00002E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52" authorId="0" shapeId="0" xr:uid="{00000000-0006-0000-0600-00002F000000}">
      <text>
        <r>
          <rPr>
            <b/>
            <sz val="8"/>
            <color indexed="81"/>
            <rFont val="Tahoma"/>
            <charset val="1"/>
          </rPr>
          <t xml:space="preserve">FF PAY refers to the amount earned for 106 hours a pay period (53 a week).  It is approximately the same pay 40-hour a week employees earn.  On your LES, it is referred to as "REGULAR PAY."
</t>
        </r>
      </text>
    </comment>
    <comment ref="C53" authorId="0" shapeId="0" xr:uid="{00000000-0006-0000-0600-000030000000}">
      <text>
        <r>
          <rPr>
            <b/>
            <sz val="8"/>
            <color indexed="81"/>
            <rFont val="Tahoma"/>
            <charset val="1"/>
          </rPr>
          <t xml:space="preserve">FF RATE refers to the hourly pay actually received for the first 106 hours.  It is less than the normal GS rate.
</t>
        </r>
      </text>
    </comment>
    <comment ref="C54" authorId="0" shapeId="0" xr:uid="{00000000-0006-0000-0600-000031000000}">
      <text>
        <r>
          <rPr>
            <b/>
            <sz val="8"/>
            <color indexed="81"/>
            <rFont val="Tahoma"/>
            <charset val="1"/>
          </rPr>
          <t xml:space="preserve">OT PAY refers to overtime pay earned for all hours beyond 106.  On your LES, it is referred to as "OT IN TOUR."
</t>
        </r>
      </text>
    </comment>
    <comment ref="C55" authorId="0" shapeId="0" xr:uid="{00000000-0006-0000-0600-000032000000}">
      <text>
        <r>
          <rPr>
            <b/>
            <sz val="8"/>
            <color indexed="81"/>
            <rFont val="Tahoma"/>
            <charset val="1"/>
          </rPr>
          <t>OT RATE refers to 1 1/2 times the FF hourly rate.  It is less than GS overtime.</t>
        </r>
      </text>
    </comment>
    <comment ref="C56" authorId="0" shapeId="0" xr:uid="{00000000-0006-0000-0600-000033000000}">
      <text>
        <r>
          <rPr>
            <b/>
            <sz val="8"/>
            <color indexed="81"/>
            <rFont val="Tahoma"/>
            <charset val="1"/>
          </rPr>
          <t xml:space="preserve">COLA refers to the Non-Foreign Cost of Living Allowance federal workers receive when employed outside the continental U.S.
</t>
        </r>
      </text>
    </comment>
    <comment ref="C57" authorId="0" shapeId="0" xr:uid="{00000000-0006-0000-0600-000034000000}">
      <text>
        <r>
          <rPr>
            <b/>
            <sz val="8"/>
            <color indexed="81"/>
            <rFont val="Tahoma"/>
            <charset val="1"/>
          </rPr>
          <t xml:space="preserve">PAY PERIOD refers to the actual gross pay you should receive each pay period.  It is derived by adding FF and OT pay together plus COLA (if applicable).
</t>
        </r>
      </text>
    </comment>
    <comment ref="C58" authorId="0" shapeId="0" xr:uid="{00000000-0006-0000-0600-000035000000}">
      <text>
        <r>
          <rPr>
            <b/>
            <sz val="8"/>
            <color indexed="81"/>
            <rFont val="Tahoma"/>
            <charset val="1"/>
          </rPr>
          <t xml:space="preserve">ANNUAL PAY refers to the actual gross pay you should receive for 26 or 27 (if applicable) pay periods.  
</t>
        </r>
      </text>
    </comment>
    <comment ref="C59" authorId="0" shapeId="0" xr:uid="{00000000-0006-0000-0600-000036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61" authorId="0" shapeId="0" xr:uid="{00000000-0006-0000-0600-000037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62" authorId="0" shapeId="0" xr:uid="{00000000-0006-0000-0600-000038000000}">
      <text>
        <r>
          <rPr>
            <b/>
            <sz val="8"/>
            <color indexed="81"/>
            <rFont val="Tahoma"/>
            <charset val="1"/>
          </rPr>
          <t xml:space="preserve">FF PAY refers to the amount earned for 106 hours a pay period (53 a week).  It is approximately the same pay 40-hour a week employees earn.  On your LES, it is referred to as "REGULAR PAY."
</t>
        </r>
      </text>
    </comment>
    <comment ref="C63" authorId="0" shapeId="0" xr:uid="{00000000-0006-0000-0600-000039000000}">
      <text>
        <r>
          <rPr>
            <b/>
            <sz val="8"/>
            <color indexed="81"/>
            <rFont val="Tahoma"/>
            <charset val="1"/>
          </rPr>
          <t xml:space="preserve">FF RATE refers to the hourly pay actually received for the first 106 hours.  It is less than the normal GS rate.
</t>
        </r>
      </text>
    </comment>
    <comment ref="C64" authorId="0" shapeId="0" xr:uid="{00000000-0006-0000-0600-00003A000000}">
      <text>
        <r>
          <rPr>
            <b/>
            <sz val="8"/>
            <color indexed="81"/>
            <rFont val="Tahoma"/>
            <charset val="1"/>
          </rPr>
          <t xml:space="preserve">OT PAY refers to overtime pay earned for all hours beyond 106.  On your LES, it is referred to as "OT IN TOUR."
</t>
        </r>
      </text>
    </comment>
    <comment ref="C65" authorId="0" shapeId="0" xr:uid="{00000000-0006-0000-0600-00003B000000}">
      <text>
        <r>
          <rPr>
            <b/>
            <sz val="8"/>
            <color indexed="81"/>
            <rFont val="Tahoma"/>
            <charset val="1"/>
          </rPr>
          <t>OT RATE refers to 1 1/2 times the FF hourly rate.  It is less than GS overtime.</t>
        </r>
      </text>
    </comment>
    <comment ref="C66" authorId="0" shapeId="0" xr:uid="{00000000-0006-0000-0600-00003C000000}">
      <text>
        <r>
          <rPr>
            <b/>
            <sz val="8"/>
            <color indexed="81"/>
            <rFont val="Tahoma"/>
            <charset val="1"/>
          </rPr>
          <t xml:space="preserve">COLA refers to the Non-Foreign Cost of Living Allowance federal workers receive when employed outside the continental U.S.
</t>
        </r>
      </text>
    </comment>
    <comment ref="C67" authorId="0" shapeId="0" xr:uid="{00000000-0006-0000-0600-00003D000000}">
      <text>
        <r>
          <rPr>
            <b/>
            <sz val="8"/>
            <color indexed="81"/>
            <rFont val="Tahoma"/>
            <charset val="1"/>
          </rPr>
          <t xml:space="preserve">PAY PERIOD refers to the actual gross pay you should receive each pay period.  It is derived by adding FF and OT pay together plus COLA (if applicable).
</t>
        </r>
      </text>
    </comment>
    <comment ref="C68" authorId="0" shapeId="0" xr:uid="{00000000-0006-0000-0600-00003E000000}">
      <text>
        <r>
          <rPr>
            <b/>
            <sz val="8"/>
            <color indexed="81"/>
            <rFont val="Tahoma"/>
            <charset val="1"/>
          </rPr>
          <t xml:space="preserve">ANNUAL PAY refers to the actual gross pay you should receive for 26 or 27 (if applicable) pay periods.  
</t>
        </r>
      </text>
    </comment>
    <comment ref="C69" authorId="0" shapeId="0" xr:uid="{00000000-0006-0000-0600-00003F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70" authorId="0" shapeId="0" xr:uid="{00000000-0006-0000-0600-000040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71" authorId="0" shapeId="0" xr:uid="{00000000-0006-0000-0600-000041000000}">
      <text>
        <r>
          <rPr>
            <b/>
            <sz val="8"/>
            <color indexed="81"/>
            <rFont val="Tahoma"/>
            <charset val="1"/>
          </rPr>
          <t xml:space="preserve">FF PAY refers to the amount earned for 106 hours a pay period (53 a week).  It is approximately the same pay 40-hour a week employees earn.  On your LES, it is referred to as "REGULAR PAY."
</t>
        </r>
      </text>
    </comment>
    <comment ref="C72" authorId="0" shapeId="0" xr:uid="{00000000-0006-0000-0600-000042000000}">
      <text>
        <r>
          <rPr>
            <b/>
            <sz val="8"/>
            <color indexed="81"/>
            <rFont val="Tahoma"/>
            <charset val="1"/>
          </rPr>
          <t xml:space="preserve">FF RATE refers to the hourly pay actually received for the first 106 hours.  It is less than the normal GS rate.
</t>
        </r>
      </text>
    </comment>
    <comment ref="C73" authorId="0" shapeId="0" xr:uid="{00000000-0006-0000-0600-000043000000}">
      <text>
        <r>
          <rPr>
            <b/>
            <sz val="8"/>
            <color indexed="81"/>
            <rFont val="Tahoma"/>
            <charset val="1"/>
          </rPr>
          <t xml:space="preserve">OT PAY refers to overtime pay earned for all hours beyond 106.  On your LES, it is referred to as "OT IN TOUR."
</t>
        </r>
      </text>
    </comment>
    <comment ref="C74" authorId="0" shapeId="0" xr:uid="{00000000-0006-0000-0600-000044000000}">
      <text>
        <r>
          <rPr>
            <b/>
            <sz val="8"/>
            <color indexed="81"/>
            <rFont val="Tahoma"/>
            <charset val="1"/>
          </rPr>
          <t>OT RATE refers to 1 1/2 times the FF hourly rate.  It is less than GS overtime.</t>
        </r>
      </text>
    </comment>
    <comment ref="C75" authorId="0" shapeId="0" xr:uid="{00000000-0006-0000-0600-000045000000}">
      <text>
        <r>
          <rPr>
            <b/>
            <sz val="8"/>
            <color indexed="81"/>
            <rFont val="Tahoma"/>
            <charset val="1"/>
          </rPr>
          <t xml:space="preserve">COLA refers to the Non-Foreign Cost of Living Allowance federal workers receive when employed outside the continental U.S.
</t>
        </r>
      </text>
    </comment>
    <comment ref="C76" authorId="0" shapeId="0" xr:uid="{00000000-0006-0000-0600-000046000000}">
      <text>
        <r>
          <rPr>
            <b/>
            <sz val="8"/>
            <color indexed="81"/>
            <rFont val="Tahoma"/>
            <charset val="1"/>
          </rPr>
          <t xml:space="preserve">PAY PERIOD refers to the actual gross pay you should receive each pay period.  It is derived by adding FF and OT pay together plus COLA (if applicable).
</t>
        </r>
      </text>
    </comment>
    <comment ref="C77" authorId="0" shapeId="0" xr:uid="{00000000-0006-0000-0600-000047000000}">
      <text>
        <r>
          <rPr>
            <b/>
            <sz val="8"/>
            <color indexed="81"/>
            <rFont val="Tahoma"/>
            <charset val="1"/>
          </rPr>
          <t xml:space="preserve">ANNUAL PAY refers to the actual gross pay you should receive for 26 or 27 (if applicable) pay periods.  
</t>
        </r>
      </text>
    </comment>
    <comment ref="C78" authorId="0" shapeId="0" xr:uid="{00000000-0006-0000-0600-000048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79" authorId="0" shapeId="0" xr:uid="{00000000-0006-0000-0600-000049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80" authorId="0" shapeId="0" xr:uid="{00000000-0006-0000-0600-00004A000000}">
      <text>
        <r>
          <rPr>
            <b/>
            <sz val="8"/>
            <color indexed="81"/>
            <rFont val="Tahoma"/>
            <charset val="1"/>
          </rPr>
          <t xml:space="preserve">FF PAY refers to the amount earned for 106 hours a pay period (53 a week).  It is approximately the same pay 40-hour a week employees earn.  On your LES, it is referred to as "REGULAR PAY."
</t>
        </r>
      </text>
    </comment>
    <comment ref="C81" authorId="0" shapeId="0" xr:uid="{00000000-0006-0000-0600-00004B000000}">
      <text>
        <r>
          <rPr>
            <b/>
            <sz val="8"/>
            <color indexed="81"/>
            <rFont val="Tahoma"/>
            <charset val="1"/>
          </rPr>
          <t xml:space="preserve">FF RATE refers to the hourly pay actually received for the first 106 hours.  It is less than the normal GS rate.
</t>
        </r>
      </text>
    </comment>
    <comment ref="C82" authorId="0" shapeId="0" xr:uid="{00000000-0006-0000-0600-00004C000000}">
      <text>
        <r>
          <rPr>
            <b/>
            <sz val="8"/>
            <color indexed="81"/>
            <rFont val="Tahoma"/>
            <charset val="1"/>
          </rPr>
          <t xml:space="preserve">OT PAY refers to overtime pay earned for all hours beyond 106.  On your LES, it is referred to as "OT IN TOUR."
</t>
        </r>
      </text>
    </comment>
    <comment ref="C83" authorId="0" shapeId="0" xr:uid="{00000000-0006-0000-0600-00004D000000}">
      <text>
        <r>
          <rPr>
            <b/>
            <sz val="8"/>
            <color indexed="81"/>
            <rFont val="Tahoma"/>
            <charset val="1"/>
          </rPr>
          <t>OT RATE refers to 1 1/2 times the FF hourly rate.  It is less than GS overtime.</t>
        </r>
      </text>
    </comment>
    <comment ref="C84" authorId="0" shapeId="0" xr:uid="{00000000-0006-0000-0600-00004E000000}">
      <text>
        <r>
          <rPr>
            <b/>
            <sz val="8"/>
            <color indexed="81"/>
            <rFont val="Tahoma"/>
            <charset val="1"/>
          </rPr>
          <t xml:space="preserve">COLA refers to the Non-Foreign Cost of Living Allowance federal workers receive when employed outside the continental U.S.
</t>
        </r>
      </text>
    </comment>
    <comment ref="C85" authorId="0" shapeId="0" xr:uid="{00000000-0006-0000-0600-00004F000000}">
      <text>
        <r>
          <rPr>
            <b/>
            <sz val="8"/>
            <color indexed="81"/>
            <rFont val="Tahoma"/>
            <charset val="1"/>
          </rPr>
          <t xml:space="preserve">PAY PERIOD refers to the actual gross pay you should receive each pay period.  It is derived by adding FF and OT pay together plus COLA (if applicable).
</t>
        </r>
      </text>
    </comment>
    <comment ref="C86" authorId="0" shapeId="0" xr:uid="{00000000-0006-0000-0600-000050000000}">
      <text>
        <r>
          <rPr>
            <b/>
            <sz val="8"/>
            <color indexed="81"/>
            <rFont val="Tahoma"/>
            <charset val="1"/>
          </rPr>
          <t xml:space="preserve">ANNUAL PAY refers to the actual gross pay you should receive for 26 or 27 (if applicable) pay periods.  
</t>
        </r>
      </text>
    </comment>
    <comment ref="C87" authorId="0" shapeId="0" xr:uid="{00000000-0006-0000-0600-000051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88" authorId="0" shapeId="0" xr:uid="{00000000-0006-0000-0600-000052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89" authorId="0" shapeId="0" xr:uid="{00000000-0006-0000-0600-000053000000}">
      <text>
        <r>
          <rPr>
            <b/>
            <sz val="8"/>
            <color indexed="81"/>
            <rFont val="Tahoma"/>
            <charset val="1"/>
          </rPr>
          <t xml:space="preserve">FF PAY refers to the amount earned for 106 hours a pay period (53 a week).  It is approximately the same pay 40-hour a week employees earn.  On your LES, it is referred to as "REGULAR PAY."
</t>
        </r>
      </text>
    </comment>
    <comment ref="C90" authorId="0" shapeId="0" xr:uid="{00000000-0006-0000-0600-000054000000}">
      <text>
        <r>
          <rPr>
            <b/>
            <sz val="8"/>
            <color indexed="81"/>
            <rFont val="Tahoma"/>
            <charset val="1"/>
          </rPr>
          <t xml:space="preserve">FF RATE refers to the hourly pay actually received for the first 106 hours.  It is less than the normal GS rate.
</t>
        </r>
      </text>
    </comment>
    <comment ref="C91" authorId="0" shapeId="0" xr:uid="{00000000-0006-0000-0600-000055000000}">
      <text>
        <r>
          <rPr>
            <b/>
            <sz val="8"/>
            <color indexed="81"/>
            <rFont val="Tahoma"/>
            <charset val="1"/>
          </rPr>
          <t xml:space="preserve">OT PAY refers to overtime pay earned for all hours beyond 106.  On your LES, it is referred to as "OT IN TOUR."
</t>
        </r>
      </text>
    </comment>
    <comment ref="C92" authorId="0" shapeId="0" xr:uid="{00000000-0006-0000-0600-000056000000}">
      <text>
        <r>
          <rPr>
            <b/>
            <sz val="8"/>
            <color indexed="81"/>
            <rFont val="Tahoma"/>
            <charset val="1"/>
          </rPr>
          <t>OT RATE refers to 1 1/2 times the FF hourly rate.  It is less than GS overtime.</t>
        </r>
      </text>
    </comment>
    <comment ref="C93" authorId="0" shapeId="0" xr:uid="{00000000-0006-0000-0600-000057000000}">
      <text>
        <r>
          <rPr>
            <b/>
            <sz val="8"/>
            <color indexed="81"/>
            <rFont val="Tahoma"/>
            <charset val="1"/>
          </rPr>
          <t xml:space="preserve">COLA refers to the Non-Foreign Cost of Living Allowance federal workers receive when employed outside the continental U.S.
</t>
        </r>
      </text>
    </comment>
    <comment ref="C94" authorId="0" shapeId="0" xr:uid="{00000000-0006-0000-0600-000058000000}">
      <text>
        <r>
          <rPr>
            <b/>
            <sz val="8"/>
            <color indexed="81"/>
            <rFont val="Tahoma"/>
            <charset val="1"/>
          </rPr>
          <t xml:space="preserve">PAY PERIOD refers to the actual gross pay you should receive each pay period.  It is derived by adding FF and OT pay together plus COLA (if applicable).
</t>
        </r>
      </text>
    </comment>
    <comment ref="C95" authorId="0" shapeId="0" xr:uid="{00000000-0006-0000-0600-000059000000}">
      <text>
        <r>
          <rPr>
            <b/>
            <sz val="8"/>
            <color indexed="81"/>
            <rFont val="Tahoma"/>
            <charset val="1"/>
          </rPr>
          <t xml:space="preserve">ANNUAL PAY refers to the actual gross pay you should receive for 26 or 27 (if applicable) pay periods.  
</t>
        </r>
      </text>
    </comment>
    <comment ref="C96" authorId="0" shapeId="0" xr:uid="{00000000-0006-0000-0600-00005A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97" authorId="0" shapeId="0" xr:uid="{00000000-0006-0000-0600-00005B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98" authorId="0" shapeId="0" xr:uid="{00000000-0006-0000-0600-00005C000000}">
      <text>
        <r>
          <rPr>
            <b/>
            <sz val="8"/>
            <color indexed="81"/>
            <rFont val="Tahoma"/>
            <charset val="1"/>
          </rPr>
          <t xml:space="preserve">FF PAY refers to the amount earned for 106 hours a pay period (53 a week).  It is approximately the same pay 40-hour a week employees earn.  On your LES, it is referred to as "REGULAR PAY."
</t>
        </r>
      </text>
    </comment>
    <comment ref="C99" authorId="0" shapeId="0" xr:uid="{00000000-0006-0000-0600-00005D000000}">
      <text>
        <r>
          <rPr>
            <b/>
            <sz val="8"/>
            <color indexed="81"/>
            <rFont val="Tahoma"/>
            <charset val="1"/>
          </rPr>
          <t xml:space="preserve">FF RATE refers to the hourly pay actually received for the first 106 hours.  It is less than the normal GS rate.
</t>
        </r>
      </text>
    </comment>
    <comment ref="C100" authorId="0" shapeId="0" xr:uid="{00000000-0006-0000-0600-00005E000000}">
      <text>
        <r>
          <rPr>
            <b/>
            <sz val="8"/>
            <color indexed="81"/>
            <rFont val="Tahoma"/>
            <charset val="1"/>
          </rPr>
          <t xml:space="preserve">OT PAY refers to overtime pay earned for all hours beyond 106.  On your LES, it is referred to as "OT IN TOUR."
</t>
        </r>
      </text>
    </comment>
    <comment ref="C101" authorId="0" shapeId="0" xr:uid="{00000000-0006-0000-0600-00005F000000}">
      <text>
        <r>
          <rPr>
            <b/>
            <sz val="8"/>
            <color indexed="81"/>
            <rFont val="Tahoma"/>
            <charset val="1"/>
          </rPr>
          <t>OT RATE refers to 1 1/2 times the FF hourly rate.  It is less than GS overtime.</t>
        </r>
      </text>
    </comment>
    <comment ref="C102" authorId="0" shapeId="0" xr:uid="{00000000-0006-0000-0600-000060000000}">
      <text>
        <r>
          <rPr>
            <b/>
            <sz val="8"/>
            <color indexed="81"/>
            <rFont val="Tahoma"/>
            <charset val="1"/>
          </rPr>
          <t xml:space="preserve">COLA refers to the Non-Foreign Cost of Living Allowance federal workers receive when employed outside the continental U.S.
</t>
        </r>
      </text>
    </comment>
    <comment ref="C103" authorId="0" shapeId="0" xr:uid="{00000000-0006-0000-0600-000061000000}">
      <text>
        <r>
          <rPr>
            <b/>
            <sz val="8"/>
            <color indexed="81"/>
            <rFont val="Tahoma"/>
            <charset val="1"/>
          </rPr>
          <t xml:space="preserve">PAY PERIOD refers to the actual gross pay you should receive each pay period.  It is derived by adding FF and OT pay together plus COLA (if applicable).
</t>
        </r>
      </text>
    </comment>
    <comment ref="C104" authorId="0" shapeId="0" xr:uid="{00000000-0006-0000-0600-000062000000}">
      <text>
        <r>
          <rPr>
            <b/>
            <sz val="8"/>
            <color indexed="81"/>
            <rFont val="Tahoma"/>
            <charset val="1"/>
          </rPr>
          <t xml:space="preserve">ANNUAL PAY refers to the actual gross pay you should receive for 26 or 27 (if applicable) pay periods.  
</t>
        </r>
      </text>
    </comment>
    <comment ref="C105" authorId="0" shapeId="0" xr:uid="{00000000-0006-0000-0600-000063000000}">
      <text>
        <r>
          <rPr>
            <b/>
            <sz val="8"/>
            <color indexed="81"/>
            <rFont val="Tahoma"/>
            <charset val="1"/>
          </rPr>
          <t>FF BASE PAY refers to the "True Base Pay" of a federal firefighter.  It is the base pay that is credible for retirement, TSP, life insurance, and other purposes.  This is the amount that will be used to calculate your "High 3" salary.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6" authorId="0" shapeId="0" xr:uid="{00000000-0006-0000-0700-000001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7" authorId="0" shapeId="0" xr:uid="{00000000-0006-0000-0700-000002000000}">
      <text>
        <r>
          <rPr>
            <b/>
            <sz val="8"/>
            <color indexed="81"/>
            <rFont val="Tahoma"/>
            <charset val="1"/>
          </rPr>
          <t xml:space="preserve">GS PAY refers to amount earned for the regular 80 hours a pay period (40 a week).  On your LES, it is referred to as "REGULAR PAY."
</t>
        </r>
      </text>
    </comment>
    <comment ref="C8" authorId="0" shapeId="0" xr:uid="{00000000-0006-0000-0700-000003000000}">
      <text>
        <r>
          <rPr>
            <b/>
            <sz val="8"/>
            <color indexed="81"/>
            <rFont val="Tahoma"/>
            <charset val="1"/>
          </rPr>
          <t xml:space="preserve">GS RATE refers to the hourly pay actually received for those 80 hours.  It is the normal GS rate.
</t>
        </r>
      </text>
    </comment>
    <comment ref="C9" authorId="0" shapeId="0" xr:uid="{00000000-0006-0000-0700-000004000000}">
      <text>
        <r>
          <rPr>
            <b/>
            <sz val="8"/>
            <color indexed="81"/>
            <rFont val="Tahoma"/>
            <charset val="1"/>
          </rPr>
          <t xml:space="preserve">FF PAY refers to the amount earned for 26 hours a pay period (hours 41 to 53 a week).  On your LES, it is also referred to as "REGULAR PAY."
</t>
        </r>
      </text>
    </comment>
    <comment ref="C10" authorId="0" shapeId="0" xr:uid="{00000000-0006-0000-0700-000005000000}">
      <text>
        <r>
          <rPr>
            <b/>
            <sz val="8"/>
            <color indexed="81"/>
            <rFont val="Tahoma"/>
            <charset val="1"/>
          </rPr>
          <t>FF RATE refers to the hourly pay actually received for those 26 hours.  It is the same as shift firefighters of equal grade and step receive.</t>
        </r>
      </text>
    </comment>
    <comment ref="C11" authorId="0" shapeId="0" xr:uid="{00000000-0006-0000-0700-000006000000}">
      <text>
        <r>
          <rPr>
            <b/>
            <sz val="8"/>
            <color indexed="81"/>
            <rFont val="Tahoma"/>
            <charset val="1"/>
          </rPr>
          <t xml:space="preserve">OT PAY refers to overtime pay earned for all hours beyond 106.  On your LES, it is referred to as "OT IN TOUR."
</t>
        </r>
      </text>
    </comment>
    <comment ref="C12" authorId="0" shapeId="0" xr:uid="{00000000-0006-0000-0700-000007000000}">
      <text>
        <r>
          <rPr>
            <b/>
            <sz val="8"/>
            <color indexed="81"/>
            <rFont val="Tahoma"/>
            <charset val="1"/>
          </rPr>
          <t>OT RATE refers to 1 1/2 times the FF hourly rate.  It is less than GS overtime.</t>
        </r>
      </text>
    </comment>
    <comment ref="C13" authorId="0" shapeId="0" xr:uid="{00000000-0006-0000-0700-000008000000}">
      <text>
        <r>
          <rPr>
            <b/>
            <sz val="8"/>
            <color indexed="81"/>
            <rFont val="Tahoma"/>
            <charset val="1"/>
          </rPr>
          <t xml:space="preserve">COLA refers to the Non-Foreign Cost of Living Allowance federal workers receive when employed outside the continental U.S.
</t>
        </r>
      </text>
    </comment>
    <comment ref="C14" authorId="0" shapeId="0" xr:uid="{00000000-0006-0000-0700-000009000000}">
      <text>
        <r>
          <rPr>
            <b/>
            <sz val="8"/>
            <color indexed="81"/>
            <rFont val="Tahoma"/>
            <charset val="1"/>
          </rPr>
          <t>PAY PERIOD refers to the actual gross pay you should receive each pay period.  It is derived by adding GS, FF, and OT pay together plus COLA (if applicable).</t>
        </r>
      </text>
    </comment>
    <comment ref="C15" authorId="0" shapeId="0" xr:uid="{00000000-0006-0000-0700-00000A000000}">
      <text>
        <r>
          <rPr>
            <b/>
            <sz val="8"/>
            <color indexed="81"/>
            <rFont val="Tahoma"/>
            <charset val="1"/>
          </rPr>
          <t xml:space="preserve">ANNUAL PAY refers to the actual gross pay you should receive for 26 or 27 (if applicable) pay periods.  
</t>
        </r>
      </text>
    </comment>
    <comment ref="C16" authorId="0" shapeId="0" xr:uid="{00000000-0006-0000-0700-00000B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17" authorId="0" shapeId="0" xr:uid="{00000000-0006-0000-0700-00000C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18" authorId="0" shapeId="0" xr:uid="{00000000-0006-0000-0700-00000D000000}">
      <text>
        <r>
          <rPr>
            <b/>
            <sz val="8"/>
            <color indexed="81"/>
            <rFont val="Tahoma"/>
            <charset val="1"/>
          </rPr>
          <t xml:space="preserve">GS PAY refers to amount earned for the regular 80 hours a pay period (40 a week).  On your LES, it is referred to as "REGULAR PAY."
</t>
        </r>
      </text>
    </comment>
    <comment ref="C19" authorId="0" shapeId="0" xr:uid="{00000000-0006-0000-0700-00000E000000}">
      <text>
        <r>
          <rPr>
            <b/>
            <sz val="8"/>
            <color indexed="81"/>
            <rFont val="Tahoma"/>
            <charset val="1"/>
          </rPr>
          <t xml:space="preserve">GS RATE refers to the hourly pay actually received for those 80 hours.  It is the normal GS rate.
</t>
        </r>
      </text>
    </comment>
    <comment ref="C20" authorId="0" shapeId="0" xr:uid="{00000000-0006-0000-0700-00000F000000}">
      <text>
        <r>
          <rPr>
            <b/>
            <sz val="8"/>
            <color indexed="81"/>
            <rFont val="Tahoma"/>
            <charset val="1"/>
          </rPr>
          <t xml:space="preserve">FF PAY refers to the amount earned for 26 hours a pay period (hours 41 to 53 a week).  On your LES, it is also referred to as "REGULAR PAY."
</t>
        </r>
      </text>
    </comment>
    <comment ref="C21" authorId="0" shapeId="0" xr:uid="{00000000-0006-0000-0700-000010000000}">
      <text>
        <r>
          <rPr>
            <b/>
            <sz val="8"/>
            <color indexed="81"/>
            <rFont val="Tahoma"/>
            <charset val="1"/>
          </rPr>
          <t>FF RATE refers to the hourly pay actually received for those 26 hours.  It is the same as shift firefighters of equal grade and step receive.</t>
        </r>
      </text>
    </comment>
    <comment ref="C22" authorId="0" shapeId="0" xr:uid="{00000000-0006-0000-0700-000011000000}">
      <text>
        <r>
          <rPr>
            <b/>
            <sz val="8"/>
            <color indexed="81"/>
            <rFont val="Tahoma"/>
            <charset val="1"/>
          </rPr>
          <t xml:space="preserve">OT PAY refers to overtime pay earned for all hours beyond 106.  On your LES, it is referred to as "OT IN TOUR."
</t>
        </r>
      </text>
    </comment>
    <comment ref="C23" authorId="0" shapeId="0" xr:uid="{00000000-0006-0000-0700-000012000000}">
      <text>
        <r>
          <rPr>
            <b/>
            <sz val="8"/>
            <color indexed="81"/>
            <rFont val="Tahoma"/>
            <charset val="1"/>
          </rPr>
          <t>OT RATE refers to 1 1/2 times the FF hourly rate.  It is less than GS overtime.</t>
        </r>
      </text>
    </comment>
    <comment ref="C24" authorId="0" shapeId="0" xr:uid="{00000000-0006-0000-0700-000013000000}">
      <text>
        <r>
          <rPr>
            <b/>
            <sz val="8"/>
            <color indexed="81"/>
            <rFont val="Tahoma"/>
            <charset val="1"/>
          </rPr>
          <t xml:space="preserve">COLA refers to the Non-Foreign Cost of Living Allowance federal workers receive when employed outside the continental U.S.
</t>
        </r>
      </text>
    </comment>
    <comment ref="C25" authorId="0" shapeId="0" xr:uid="{00000000-0006-0000-0700-000014000000}">
      <text>
        <r>
          <rPr>
            <b/>
            <sz val="8"/>
            <color indexed="81"/>
            <rFont val="Tahoma"/>
            <charset val="1"/>
          </rPr>
          <t>PAY PERIOD refers to the actual gross pay you should receive each pay period.  It is derived by adding GS, FF, and OT pay together plus COLA (if applicable).</t>
        </r>
      </text>
    </comment>
    <comment ref="C26" authorId="0" shapeId="0" xr:uid="{00000000-0006-0000-0700-000015000000}">
      <text>
        <r>
          <rPr>
            <b/>
            <sz val="8"/>
            <color indexed="81"/>
            <rFont val="Tahoma"/>
            <charset val="1"/>
          </rPr>
          <t xml:space="preserve">ANNUAL PAY refers to the actual gross pay you should receive for 26 or 27 (if applicable) pay periods.  
</t>
        </r>
      </text>
    </comment>
    <comment ref="C27" authorId="0" shapeId="0" xr:uid="{00000000-0006-0000-0700-000016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28" authorId="0" shapeId="0" xr:uid="{00000000-0006-0000-0700-000017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29" authorId="0" shapeId="0" xr:uid="{00000000-0006-0000-0700-000018000000}">
      <text>
        <r>
          <rPr>
            <b/>
            <sz val="8"/>
            <color indexed="81"/>
            <rFont val="Tahoma"/>
            <charset val="1"/>
          </rPr>
          <t xml:space="preserve">GS PAY refers to amount earned for the regular 80 hours a pay period (40 a week).  On your LES, it is referred to as "REGULAR PAY."
</t>
        </r>
      </text>
    </comment>
    <comment ref="C30" authorId="0" shapeId="0" xr:uid="{00000000-0006-0000-0700-000019000000}">
      <text>
        <r>
          <rPr>
            <b/>
            <sz val="8"/>
            <color indexed="81"/>
            <rFont val="Tahoma"/>
            <charset val="1"/>
          </rPr>
          <t xml:space="preserve">GS RATE refers to the hourly pay actually received for those 80 hours.  It is the normal GS rate.
</t>
        </r>
      </text>
    </comment>
    <comment ref="C31" authorId="0" shapeId="0" xr:uid="{00000000-0006-0000-0700-00001A000000}">
      <text>
        <r>
          <rPr>
            <b/>
            <sz val="8"/>
            <color indexed="81"/>
            <rFont val="Tahoma"/>
            <charset val="1"/>
          </rPr>
          <t xml:space="preserve">FF PAY refers to the amount earned for 26 hours a pay period (hours 41 to 53 a week).  On your LES, it is also referred to as "REGULAR PAY."
</t>
        </r>
      </text>
    </comment>
    <comment ref="C32" authorId="0" shapeId="0" xr:uid="{00000000-0006-0000-0700-00001B000000}">
      <text>
        <r>
          <rPr>
            <b/>
            <sz val="8"/>
            <color indexed="81"/>
            <rFont val="Tahoma"/>
            <charset val="1"/>
          </rPr>
          <t>FF RATE refers to the hourly pay actually received for those 26 hours.  It is the same as shift firefighters of equal grade and step receive.</t>
        </r>
      </text>
    </comment>
    <comment ref="C33" authorId="0" shapeId="0" xr:uid="{00000000-0006-0000-0700-00001C000000}">
      <text>
        <r>
          <rPr>
            <b/>
            <sz val="8"/>
            <color indexed="81"/>
            <rFont val="Tahoma"/>
            <charset val="1"/>
          </rPr>
          <t xml:space="preserve">OT PAY refers to overtime pay earned for all hours beyond 106.  On your LES, it is referred to as "OT IN TOUR."
</t>
        </r>
      </text>
    </comment>
    <comment ref="C34" authorId="0" shapeId="0" xr:uid="{00000000-0006-0000-0700-00001D000000}">
      <text>
        <r>
          <rPr>
            <b/>
            <sz val="8"/>
            <color indexed="81"/>
            <rFont val="Tahoma"/>
            <charset val="1"/>
          </rPr>
          <t>OT RATE refers to 1 1/2 times the FF hourly rate.  It is less than GS overtime.</t>
        </r>
      </text>
    </comment>
    <comment ref="C35" authorId="0" shapeId="0" xr:uid="{00000000-0006-0000-0700-00001E000000}">
      <text>
        <r>
          <rPr>
            <b/>
            <sz val="8"/>
            <color indexed="81"/>
            <rFont val="Tahoma"/>
            <charset val="1"/>
          </rPr>
          <t xml:space="preserve">COLA refers to the Non-Foreign Cost of Living Allowance federal workers receive when employed outside the continental U.S.
</t>
        </r>
      </text>
    </comment>
    <comment ref="C36" authorId="0" shapeId="0" xr:uid="{00000000-0006-0000-0700-00001F000000}">
      <text>
        <r>
          <rPr>
            <b/>
            <sz val="8"/>
            <color indexed="81"/>
            <rFont val="Tahoma"/>
            <charset val="1"/>
          </rPr>
          <t>PAY PERIOD refers to the actual gross pay you should receive each pay period.  It is derived by adding GS, FF, and OT pay together plus COLA (if applicable).</t>
        </r>
      </text>
    </comment>
    <comment ref="C37" authorId="0" shapeId="0" xr:uid="{00000000-0006-0000-0700-000020000000}">
      <text>
        <r>
          <rPr>
            <b/>
            <sz val="8"/>
            <color indexed="81"/>
            <rFont val="Tahoma"/>
            <charset val="1"/>
          </rPr>
          <t xml:space="preserve">ANNUAL PAY refers to the actual gross pay you should receive for 26 or 27 (if applicable) pay periods.  
</t>
        </r>
      </text>
    </comment>
    <comment ref="C38" authorId="0" shapeId="0" xr:uid="{00000000-0006-0000-0700-000021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39" authorId="0" shapeId="0" xr:uid="{00000000-0006-0000-0700-000022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40" authorId="0" shapeId="0" xr:uid="{00000000-0006-0000-0700-000023000000}">
      <text>
        <r>
          <rPr>
            <b/>
            <sz val="8"/>
            <color indexed="81"/>
            <rFont val="Tahoma"/>
            <charset val="1"/>
          </rPr>
          <t xml:space="preserve">GS PAY refers to amount earned for the regular 80 hours a pay period (40 a week).  On your LES, it is referred to as "REGULAR PAY."
</t>
        </r>
      </text>
    </comment>
    <comment ref="C41" authorId="0" shapeId="0" xr:uid="{00000000-0006-0000-0700-000024000000}">
      <text>
        <r>
          <rPr>
            <b/>
            <sz val="8"/>
            <color indexed="81"/>
            <rFont val="Tahoma"/>
            <charset val="1"/>
          </rPr>
          <t xml:space="preserve">GS RATE refers to the hourly pay actually received for those 80 hours.  It is the normal GS rate.
</t>
        </r>
      </text>
    </comment>
    <comment ref="C42" authorId="0" shapeId="0" xr:uid="{00000000-0006-0000-0700-000025000000}">
      <text>
        <r>
          <rPr>
            <b/>
            <sz val="8"/>
            <color indexed="81"/>
            <rFont val="Tahoma"/>
            <charset val="1"/>
          </rPr>
          <t xml:space="preserve">FF PAY refers to the amount earned for 26 hours a pay period (hours 41 to 53 a week).  On your LES, it is also referred to as "REGULAR PAY."
</t>
        </r>
      </text>
    </comment>
    <comment ref="C43" authorId="0" shapeId="0" xr:uid="{00000000-0006-0000-0700-000026000000}">
      <text>
        <r>
          <rPr>
            <b/>
            <sz val="8"/>
            <color indexed="81"/>
            <rFont val="Tahoma"/>
            <charset val="1"/>
          </rPr>
          <t>FF RATE refers to the hourly pay actually received for those 26 hours.  It is the same as shift firefighters of equal grade and step receive.</t>
        </r>
      </text>
    </comment>
    <comment ref="C44" authorId="0" shapeId="0" xr:uid="{00000000-0006-0000-0700-000027000000}">
      <text>
        <r>
          <rPr>
            <b/>
            <sz val="8"/>
            <color indexed="81"/>
            <rFont val="Tahoma"/>
            <charset val="1"/>
          </rPr>
          <t xml:space="preserve">OT PAY refers to overtime pay earned for all hours beyond 106.  On your LES, it is referred to as "OT IN TOUR."
</t>
        </r>
      </text>
    </comment>
    <comment ref="C45" authorId="0" shapeId="0" xr:uid="{00000000-0006-0000-0700-000028000000}">
      <text>
        <r>
          <rPr>
            <b/>
            <sz val="8"/>
            <color indexed="81"/>
            <rFont val="Tahoma"/>
            <charset val="1"/>
          </rPr>
          <t>OT RATE refers to 1 1/2 times the FF hourly rate.  It is less than GS overtime.</t>
        </r>
      </text>
    </comment>
    <comment ref="C46" authorId="0" shapeId="0" xr:uid="{00000000-0006-0000-0700-000029000000}">
      <text>
        <r>
          <rPr>
            <b/>
            <sz val="8"/>
            <color indexed="81"/>
            <rFont val="Tahoma"/>
            <charset val="1"/>
          </rPr>
          <t xml:space="preserve">COLA refers to the Non-Foreign Cost of Living Allowance federal workers receive when employed outside the continental U.S.
</t>
        </r>
      </text>
    </comment>
    <comment ref="C47" authorId="0" shapeId="0" xr:uid="{00000000-0006-0000-0700-00002A000000}">
      <text>
        <r>
          <rPr>
            <b/>
            <sz val="8"/>
            <color indexed="81"/>
            <rFont val="Tahoma"/>
            <charset val="1"/>
          </rPr>
          <t>PAY PERIOD refers to the actual gross pay you should receive each pay period.  It is derived by adding GS, FF, and OT pay together plus COLA (if applicable).</t>
        </r>
      </text>
    </comment>
    <comment ref="C48" authorId="0" shapeId="0" xr:uid="{00000000-0006-0000-0700-00002B000000}">
      <text>
        <r>
          <rPr>
            <b/>
            <sz val="8"/>
            <color indexed="81"/>
            <rFont val="Tahoma"/>
            <charset val="1"/>
          </rPr>
          <t xml:space="preserve">ANNUAL PAY refers to the actual gross pay you should receive for 26 or 27 (if applicable) pay periods.  
</t>
        </r>
      </text>
    </comment>
    <comment ref="C49" authorId="0" shapeId="0" xr:uid="{00000000-0006-0000-0700-00002C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51" authorId="0" shapeId="0" xr:uid="{00000000-0006-0000-0700-00002D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52" authorId="0" shapeId="0" xr:uid="{00000000-0006-0000-0700-00002E000000}">
      <text>
        <r>
          <rPr>
            <b/>
            <sz val="8"/>
            <color indexed="81"/>
            <rFont val="Tahoma"/>
            <charset val="1"/>
          </rPr>
          <t xml:space="preserve">GS PAY refers to amount earned for the regular 80 hours a pay period (40 a week).  On your LES, it is referred to as "REGULAR PAY."
</t>
        </r>
      </text>
    </comment>
    <comment ref="C53" authorId="0" shapeId="0" xr:uid="{00000000-0006-0000-0700-00002F000000}">
      <text>
        <r>
          <rPr>
            <b/>
            <sz val="8"/>
            <color indexed="81"/>
            <rFont val="Tahoma"/>
            <charset val="1"/>
          </rPr>
          <t xml:space="preserve">GS RATE refers to the hourly pay actually received for those 80 hours.  It is the normal GS rate.
</t>
        </r>
      </text>
    </comment>
    <comment ref="C54" authorId="0" shapeId="0" xr:uid="{00000000-0006-0000-0700-000030000000}">
      <text>
        <r>
          <rPr>
            <b/>
            <sz val="8"/>
            <color indexed="81"/>
            <rFont val="Tahoma"/>
            <charset val="1"/>
          </rPr>
          <t xml:space="preserve">FF PAY refers to the amount earned for 26 hours a pay period (hours 41 to 53 a week).  On your LES, it is also referred to as "REGULAR PAY."
</t>
        </r>
      </text>
    </comment>
    <comment ref="C55" authorId="0" shapeId="0" xr:uid="{00000000-0006-0000-0700-000031000000}">
      <text>
        <r>
          <rPr>
            <b/>
            <sz val="8"/>
            <color indexed="81"/>
            <rFont val="Tahoma"/>
            <charset val="1"/>
          </rPr>
          <t>FF RATE refers to the hourly pay actually received for those 26 hours.  It is the same as shift firefighters of equal grade and step receive.</t>
        </r>
      </text>
    </comment>
    <comment ref="C56" authorId="0" shapeId="0" xr:uid="{00000000-0006-0000-0700-000032000000}">
      <text>
        <r>
          <rPr>
            <b/>
            <sz val="8"/>
            <color indexed="81"/>
            <rFont val="Tahoma"/>
            <charset val="1"/>
          </rPr>
          <t xml:space="preserve">OT PAY refers to overtime pay earned for all hours beyond 106.  On your LES, it is referred to as "OT IN TOUR."
</t>
        </r>
      </text>
    </comment>
    <comment ref="C57" authorId="0" shapeId="0" xr:uid="{00000000-0006-0000-0700-000033000000}">
      <text>
        <r>
          <rPr>
            <b/>
            <sz val="8"/>
            <color indexed="81"/>
            <rFont val="Tahoma"/>
            <charset val="1"/>
          </rPr>
          <t>OT RATE refers to 1 1/2 times the FF hourly rate.  It is less than GS overtime.</t>
        </r>
      </text>
    </comment>
    <comment ref="C58" authorId="0" shapeId="0" xr:uid="{00000000-0006-0000-0700-000034000000}">
      <text>
        <r>
          <rPr>
            <b/>
            <sz val="8"/>
            <color indexed="81"/>
            <rFont val="Tahoma"/>
            <charset val="1"/>
          </rPr>
          <t xml:space="preserve">COLA refers to the Non-Foreign Cost of Living Allowance federal workers receive when employed outside the continental U.S.
</t>
        </r>
      </text>
    </comment>
    <comment ref="C59" authorId="0" shapeId="0" xr:uid="{00000000-0006-0000-0700-000035000000}">
      <text>
        <r>
          <rPr>
            <b/>
            <sz val="8"/>
            <color indexed="81"/>
            <rFont val="Tahoma"/>
            <charset val="1"/>
          </rPr>
          <t>PAY PERIOD refers to the actual gross pay you should receive each pay period.  It is derived by adding GS, FF, and OT pay together plus COLA (if applicable).</t>
        </r>
      </text>
    </comment>
    <comment ref="C60" authorId="0" shapeId="0" xr:uid="{00000000-0006-0000-0700-000036000000}">
      <text>
        <r>
          <rPr>
            <b/>
            <sz val="8"/>
            <color indexed="81"/>
            <rFont val="Tahoma"/>
            <charset val="1"/>
          </rPr>
          <t xml:space="preserve">ANNUAL PAY refers to the actual gross pay you should receive for 26 or 27 (if applicable) pay periods.  
</t>
        </r>
      </text>
    </comment>
    <comment ref="C61" authorId="0" shapeId="0" xr:uid="{00000000-0006-0000-0700-000037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62" authorId="0" shapeId="0" xr:uid="{00000000-0006-0000-0700-000038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63" authorId="0" shapeId="0" xr:uid="{00000000-0006-0000-0700-000039000000}">
      <text>
        <r>
          <rPr>
            <b/>
            <sz val="8"/>
            <color indexed="81"/>
            <rFont val="Tahoma"/>
            <charset val="1"/>
          </rPr>
          <t xml:space="preserve">GS PAY refers to amount earned for the regular 80 hours a pay period (40 a week).  On your LES, it is referred to as "REGULAR PAY."
</t>
        </r>
      </text>
    </comment>
    <comment ref="C64" authorId="0" shapeId="0" xr:uid="{00000000-0006-0000-0700-00003A000000}">
      <text>
        <r>
          <rPr>
            <b/>
            <sz val="8"/>
            <color indexed="81"/>
            <rFont val="Tahoma"/>
            <charset val="1"/>
          </rPr>
          <t xml:space="preserve">GS RATE refers to the hourly pay actually received for those 80 hours.  It is the normal GS rate.
</t>
        </r>
      </text>
    </comment>
    <comment ref="C65" authorId="0" shapeId="0" xr:uid="{00000000-0006-0000-0700-00003B000000}">
      <text>
        <r>
          <rPr>
            <b/>
            <sz val="8"/>
            <color indexed="81"/>
            <rFont val="Tahoma"/>
            <charset val="1"/>
          </rPr>
          <t xml:space="preserve">FF PAY refers to the amount earned for 26 hours a pay period (hours 41 to 53 a week).  On your LES, it is also referred to as "REGULAR PAY."
</t>
        </r>
      </text>
    </comment>
    <comment ref="C66" authorId="0" shapeId="0" xr:uid="{00000000-0006-0000-0700-00003C000000}">
      <text>
        <r>
          <rPr>
            <b/>
            <sz val="8"/>
            <color indexed="81"/>
            <rFont val="Tahoma"/>
            <charset val="1"/>
          </rPr>
          <t>FF RATE refers to the hourly pay actually received for those 26 hours.  It is the same as shift firefighters of equal grade and step receive.</t>
        </r>
      </text>
    </comment>
    <comment ref="C67" authorId="0" shapeId="0" xr:uid="{00000000-0006-0000-0700-00003D000000}">
      <text>
        <r>
          <rPr>
            <b/>
            <sz val="8"/>
            <color indexed="81"/>
            <rFont val="Tahoma"/>
            <charset val="1"/>
          </rPr>
          <t xml:space="preserve">OT PAY refers to overtime pay earned for all hours beyond 106.  On your LES, it is referred to as "OT IN TOUR."
</t>
        </r>
      </text>
    </comment>
    <comment ref="C68" authorId="0" shapeId="0" xr:uid="{00000000-0006-0000-0700-00003E000000}">
      <text>
        <r>
          <rPr>
            <b/>
            <sz val="8"/>
            <color indexed="81"/>
            <rFont val="Tahoma"/>
            <charset val="1"/>
          </rPr>
          <t>OT RATE refers to 1 1/2 times the FF hourly rate.  It is less than GS overtime.</t>
        </r>
      </text>
    </comment>
    <comment ref="C69" authorId="0" shapeId="0" xr:uid="{00000000-0006-0000-0700-00003F000000}">
      <text>
        <r>
          <rPr>
            <b/>
            <sz val="8"/>
            <color indexed="81"/>
            <rFont val="Tahoma"/>
            <charset val="1"/>
          </rPr>
          <t xml:space="preserve">COLA refers to the Non-Foreign Cost of Living Allowance federal workers receive when employed outside the continental U.S.
</t>
        </r>
      </text>
    </comment>
    <comment ref="C70" authorId="0" shapeId="0" xr:uid="{00000000-0006-0000-0700-000040000000}">
      <text>
        <r>
          <rPr>
            <b/>
            <sz val="8"/>
            <color indexed="81"/>
            <rFont val="Tahoma"/>
            <charset val="1"/>
          </rPr>
          <t>PAY PERIOD refers to the actual gross pay you should receive each pay period.  It is derived by adding GS, FF, and OT pay together plus COLA (if applicable).</t>
        </r>
      </text>
    </comment>
    <comment ref="C71" authorId="0" shapeId="0" xr:uid="{00000000-0006-0000-0700-000041000000}">
      <text>
        <r>
          <rPr>
            <b/>
            <sz val="8"/>
            <color indexed="81"/>
            <rFont val="Tahoma"/>
            <charset val="1"/>
          </rPr>
          <t xml:space="preserve">ANNUAL PAY refers to the actual gross pay you should receive for 26 or 27 (if applicable) pay periods.  
</t>
        </r>
      </text>
    </comment>
    <comment ref="C72" authorId="0" shapeId="0" xr:uid="{00000000-0006-0000-0700-000042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73" authorId="0" shapeId="0" xr:uid="{00000000-0006-0000-0700-000043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74" authorId="0" shapeId="0" xr:uid="{00000000-0006-0000-0700-000044000000}">
      <text>
        <r>
          <rPr>
            <b/>
            <sz val="8"/>
            <color indexed="81"/>
            <rFont val="Tahoma"/>
            <charset val="1"/>
          </rPr>
          <t xml:space="preserve">GS PAY refers to amount earned for the regular 80 hours a pay period (40 a week).  On your LES, it is referred to as "REGULAR PAY."
</t>
        </r>
      </text>
    </comment>
    <comment ref="C75" authorId="0" shapeId="0" xr:uid="{00000000-0006-0000-0700-000045000000}">
      <text>
        <r>
          <rPr>
            <b/>
            <sz val="8"/>
            <color indexed="81"/>
            <rFont val="Tahoma"/>
            <charset val="1"/>
          </rPr>
          <t xml:space="preserve">GS RATE refers to the hourly pay actually received for those 80 hours.  It is the normal GS rate.
</t>
        </r>
      </text>
    </comment>
    <comment ref="C76" authorId="0" shapeId="0" xr:uid="{00000000-0006-0000-0700-000046000000}">
      <text>
        <r>
          <rPr>
            <b/>
            <sz val="8"/>
            <color indexed="81"/>
            <rFont val="Tahoma"/>
            <charset val="1"/>
          </rPr>
          <t xml:space="preserve">FF PAY refers to the amount earned for 26 hours a pay period (hours 41 to 53 a week).  On your LES, it is also referred to as "REGULAR PAY."
</t>
        </r>
      </text>
    </comment>
    <comment ref="C77" authorId="0" shapeId="0" xr:uid="{00000000-0006-0000-0700-000047000000}">
      <text>
        <r>
          <rPr>
            <b/>
            <sz val="8"/>
            <color indexed="81"/>
            <rFont val="Tahoma"/>
            <charset val="1"/>
          </rPr>
          <t>FF RATE refers to the hourly pay actually received for those 26 hours.  It is the same as shift firefighters of equal grade and step receive.</t>
        </r>
      </text>
    </comment>
    <comment ref="C78" authorId="0" shapeId="0" xr:uid="{00000000-0006-0000-0700-000048000000}">
      <text>
        <r>
          <rPr>
            <b/>
            <sz val="8"/>
            <color indexed="81"/>
            <rFont val="Tahoma"/>
            <charset val="1"/>
          </rPr>
          <t xml:space="preserve">OT PAY refers to overtime pay earned for all hours beyond 106.  On your LES, it is referred to as "OT IN TOUR."
</t>
        </r>
      </text>
    </comment>
    <comment ref="C79" authorId="0" shapeId="0" xr:uid="{00000000-0006-0000-0700-000049000000}">
      <text>
        <r>
          <rPr>
            <b/>
            <sz val="8"/>
            <color indexed="81"/>
            <rFont val="Tahoma"/>
            <charset val="1"/>
          </rPr>
          <t>OT RATE refers to 1 1/2 times the FF hourly rate.  It is less than GS overtime.</t>
        </r>
      </text>
    </comment>
    <comment ref="C80" authorId="0" shapeId="0" xr:uid="{00000000-0006-0000-0700-00004A000000}">
      <text>
        <r>
          <rPr>
            <b/>
            <sz val="8"/>
            <color indexed="81"/>
            <rFont val="Tahoma"/>
            <charset val="1"/>
          </rPr>
          <t xml:space="preserve">COLA refers to the Non-Foreign Cost of Living Allowance federal workers receive when employed outside the continental U.S.
</t>
        </r>
      </text>
    </comment>
    <comment ref="C81" authorId="0" shapeId="0" xr:uid="{00000000-0006-0000-0700-00004B000000}">
      <text>
        <r>
          <rPr>
            <b/>
            <sz val="8"/>
            <color indexed="81"/>
            <rFont val="Tahoma"/>
            <charset val="1"/>
          </rPr>
          <t>PAY PERIOD refers to the actual gross pay you should receive each pay period.  It is derived by adding GS, FF, and OT pay together plus COLA (if applicable).</t>
        </r>
      </text>
    </comment>
    <comment ref="C82" authorId="0" shapeId="0" xr:uid="{00000000-0006-0000-0700-00004C000000}">
      <text>
        <r>
          <rPr>
            <b/>
            <sz val="8"/>
            <color indexed="81"/>
            <rFont val="Tahoma"/>
            <charset val="1"/>
          </rPr>
          <t xml:space="preserve">ANNUAL PAY refers to the actual gross pay you should receive for 26 or 27 (if applicable) pay periods.  
</t>
        </r>
      </text>
    </comment>
    <comment ref="C83" authorId="0" shapeId="0" xr:uid="{00000000-0006-0000-0700-00004D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84" authorId="0" shapeId="0" xr:uid="{00000000-0006-0000-0700-00004E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85" authorId="0" shapeId="0" xr:uid="{00000000-0006-0000-0700-00004F000000}">
      <text>
        <r>
          <rPr>
            <b/>
            <sz val="8"/>
            <color indexed="81"/>
            <rFont val="Tahoma"/>
            <charset val="1"/>
          </rPr>
          <t xml:space="preserve">GS PAY refers to amount earned for the regular 80 hours a pay period (40 a week).  On your LES, it is referred to as "REGULAR PAY."
</t>
        </r>
      </text>
    </comment>
    <comment ref="C86" authorId="0" shapeId="0" xr:uid="{00000000-0006-0000-0700-000050000000}">
      <text>
        <r>
          <rPr>
            <b/>
            <sz val="8"/>
            <color indexed="81"/>
            <rFont val="Tahoma"/>
            <charset val="1"/>
          </rPr>
          <t xml:space="preserve">GS RATE refers to the hourly pay actually received for those 80 hours.  It is the normal GS rate.
</t>
        </r>
      </text>
    </comment>
    <comment ref="C87" authorId="0" shapeId="0" xr:uid="{00000000-0006-0000-0700-000051000000}">
      <text>
        <r>
          <rPr>
            <b/>
            <sz val="8"/>
            <color indexed="81"/>
            <rFont val="Tahoma"/>
            <charset val="1"/>
          </rPr>
          <t xml:space="preserve">FF PAY refers to the amount earned for 26 hours a pay period (hours 41 to 53 a week).  On your LES, it is also referred to as "REGULAR PAY."
</t>
        </r>
      </text>
    </comment>
    <comment ref="C88" authorId="0" shapeId="0" xr:uid="{00000000-0006-0000-0700-000052000000}">
      <text>
        <r>
          <rPr>
            <b/>
            <sz val="8"/>
            <color indexed="81"/>
            <rFont val="Tahoma"/>
            <charset val="1"/>
          </rPr>
          <t>FF RATE refers to the hourly pay actually received for those 26 hours.  It is the same as shift firefighters of equal grade and step receive.</t>
        </r>
      </text>
    </comment>
    <comment ref="C89" authorId="0" shapeId="0" xr:uid="{00000000-0006-0000-0700-000053000000}">
      <text>
        <r>
          <rPr>
            <b/>
            <sz val="8"/>
            <color indexed="81"/>
            <rFont val="Tahoma"/>
            <charset val="1"/>
          </rPr>
          <t xml:space="preserve">OT PAY refers to overtime pay earned for all hours beyond 106.  On your LES, it is referred to as "OT IN TOUR."
</t>
        </r>
      </text>
    </comment>
    <comment ref="C90" authorId="0" shapeId="0" xr:uid="{00000000-0006-0000-0700-000054000000}">
      <text>
        <r>
          <rPr>
            <b/>
            <sz val="8"/>
            <color indexed="81"/>
            <rFont val="Tahoma"/>
            <charset val="1"/>
          </rPr>
          <t>OT RATE refers to 1 1/2 times the FF hourly rate.  It is less than GS overtime.</t>
        </r>
      </text>
    </comment>
    <comment ref="C91" authorId="0" shapeId="0" xr:uid="{00000000-0006-0000-0700-000055000000}">
      <text>
        <r>
          <rPr>
            <b/>
            <sz val="8"/>
            <color indexed="81"/>
            <rFont val="Tahoma"/>
            <charset val="1"/>
          </rPr>
          <t xml:space="preserve">COLA refers to the Non-Foreign Cost of Living Allowance federal workers receive when employed outside the continental U.S.
</t>
        </r>
      </text>
    </comment>
    <comment ref="C92" authorId="0" shapeId="0" xr:uid="{00000000-0006-0000-0700-000056000000}">
      <text>
        <r>
          <rPr>
            <b/>
            <sz val="8"/>
            <color indexed="81"/>
            <rFont val="Tahoma"/>
            <charset val="1"/>
          </rPr>
          <t>PAY PERIOD refers to the actual gross pay you should receive each pay period.  It is derived by adding GS, FF, and OT pay together plus COLA (if applicable).</t>
        </r>
      </text>
    </comment>
    <comment ref="C93" authorId="0" shapeId="0" xr:uid="{00000000-0006-0000-0700-000057000000}">
      <text>
        <r>
          <rPr>
            <b/>
            <sz val="8"/>
            <color indexed="81"/>
            <rFont val="Tahoma"/>
            <charset val="1"/>
          </rPr>
          <t xml:space="preserve">ANNUAL PAY refers to the actual gross pay you should receive for 26 or 27 (if applicable) pay periods.  
</t>
        </r>
      </text>
    </comment>
    <comment ref="C94" authorId="0" shapeId="0" xr:uid="{00000000-0006-0000-0700-000058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96" authorId="0" shapeId="0" xr:uid="{00000000-0006-0000-0700-000059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97" authorId="0" shapeId="0" xr:uid="{00000000-0006-0000-0700-00005A000000}">
      <text>
        <r>
          <rPr>
            <b/>
            <sz val="8"/>
            <color indexed="81"/>
            <rFont val="Tahoma"/>
            <charset val="1"/>
          </rPr>
          <t xml:space="preserve">GS PAY refers to amount earned for the regular 80 hours a pay period (40 a week).  On your LES, it is referred to as "REGULAR PAY."
</t>
        </r>
      </text>
    </comment>
    <comment ref="C98" authorId="0" shapeId="0" xr:uid="{00000000-0006-0000-0700-00005B000000}">
      <text>
        <r>
          <rPr>
            <b/>
            <sz val="8"/>
            <color indexed="81"/>
            <rFont val="Tahoma"/>
            <charset val="1"/>
          </rPr>
          <t xml:space="preserve">GS RATE refers to the hourly pay actually received for those 80 hours.  It is the normal GS rate.
</t>
        </r>
      </text>
    </comment>
    <comment ref="C99" authorId="0" shapeId="0" xr:uid="{00000000-0006-0000-0700-00005C000000}">
      <text>
        <r>
          <rPr>
            <b/>
            <sz val="8"/>
            <color indexed="81"/>
            <rFont val="Tahoma"/>
            <charset val="1"/>
          </rPr>
          <t xml:space="preserve">FF PAY refers to the amount earned for 26 hours a pay period (hours 41 to 53 a week).  On your LES, it is also referred to as "REGULAR PAY."
</t>
        </r>
      </text>
    </comment>
    <comment ref="C100" authorId="0" shapeId="0" xr:uid="{00000000-0006-0000-0700-00005D000000}">
      <text>
        <r>
          <rPr>
            <b/>
            <sz val="8"/>
            <color indexed="81"/>
            <rFont val="Tahoma"/>
            <charset val="1"/>
          </rPr>
          <t>FF RATE refers to the hourly pay actually received for those 26 hours.  It is the same as shift firefighters of equal grade and step receive.</t>
        </r>
      </text>
    </comment>
    <comment ref="C101" authorId="0" shapeId="0" xr:uid="{00000000-0006-0000-0700-00005E000000}">
      <text>
        <r>
          <rPr>
            <b/>
            <sz val="8"/>
            <color indexed="81"/>
            <rFont val="Tahoma"/>
            <charset val="1"/>
          </rPr>
          <t xml:space="preserve">OT PAY refers to overtime pay earned for all hours beyond 106.  On your LES, it is referred to as "OT IN TOUR."
</t>
        </r>
      </text>
    </comment>
    <comment ref="C102" authorId="0" shapeId="0" xr:uid="{00000000-0006-0000-0700-00005F000000}">
      <text>
        <r>
          <rPr>
            <b/>
            <sz val="8"/>
            <color indexed="81"/>
            <rFont val="Tahoma"/>
            <charset val="1"/>
          </rPr>
          <t>OT RATE refers to 1 1/2 times the FF hourly rate.  It is less than GS overtime.</t>
        </r>
      </text>
    </comment>
    <comment ref="C103" authorId="0" shapeId="0" xr:uid="{00000000-0006-0000-0700-000060000000}">
      <text>
        <r>
          <rPr>
            <b/>
            <sz val="8"/>
            <color indexed="81"/>
            <rFont val="Tahoma"/>
            <charset val="1"/>
          </rPr>
          <t xml:space="preserve">COLA refers to the Non-Foreign Cost of Living Allowance federal workers receive when employed outside the continental U.S.
</t>
        </r>
      </text>
    </comment>
    <comment ref="C104" authorId="0" shapeId="0" xr:uid="{00000000-0006-0000-0700-000061000000}">
      <text>
        <r>
          <rPr>
            <b/>
            <sz val="8"/>
            <color indexed="81"/>
            <rFont val="Tahoma"/>
            <charset val="1"/>
          </rPr>
          <t>PAY PERIOD refers to the actual gross pay you should receive each pay period.  It is derived by adding GS, FF, and OT pay together plus COLA (if applicable).</t>
        </r>
      </text>
    </comment>
    <comment ref="C105" authorId="0" shapeId="0" xr:uid="{00000000-0006-0000-0700-000062000000}">
      <text>
        <r>
          <rPr>
            <b/>
            <sz val="8"/>
            <color indexed="81"/>
            <rFont val="Tahoma"/>
            <charset val="1"/>
          </rPr>
          <t xml:space="preserve">ANNUAL PAY refers to the actual gross pay you should receive for 26 or 27 (if applicable) pay periods.  
</t>
        </r>
      </text>
    </comment>
    <comment ref="C106" authorId="0" shapeId="0" xr:uid="{00000000-0006-0000-0700-000063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107" authorId="0" shapeId="0" xr:uid="{00000000-0006-0000-0700-000064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108" authorId="0" shapeId="0" xr:uid="{00000000-0006-0000-0700-000065000000}">
      <text>
        <r>
          <rPr>
            <b/>
            <sz val="8"/>
            <color indexed="81"/>
            <rFont val="Tahoma"/>
            <charset val="1"/>
          </rPr>
          <t xml:space="preserve">GS PAY refers to amount earned for the regular 80 hours a pay period (40 a week).  On your LES, it is referred to as "REGULAR PAY."
</t>
        </r>
      </text>
    </comment>
    <comment ref="C109" authorId="0" shapeId="0" xr:uid="{00000000-0006-0000-0700-000066000000}">
      <text>
        <r>
          <rPr>
            <b/>
            <sz val="8"/>
            <color indexed="81"/>
            <rFont val="Tahoma"/>
            <charset val="1"/>
          </rPr>
          <t xml:space="preserve">GS RATE refers to the hourly pay actually received for those 80 hours.  It is the normal GS rate.
</t>
        </r>
      </text>
    </comment>
    <comment ref="C110" authorId="0" shapeId="0" xr:uid="{00000000-0006-0000-0700-000067000000}">
      <text>
        <r>
          <rPr>
            <b/>
            <sz val="8"/>
            <color indexed="81"/>
            <rFont val="Tahoma"/>
            <charset val="1"/>
          </rPr>
          <t xml:space="preserve">FF PAY refers to the amount earned for 26 hours a pay period (hours 41 to 53 a week).  On your LES, it is also referred to as "REGULAR PAY."
</t>
        </r>
      </text>
    </comment>
    <comment ref="C111" authorId="0" shapeId="0" xr:uid="{00000000-0006-0000-0700-000068000000}">
      <text>
        <r>
          <rPr>
            <b/>
            <sz val="8"/>
            <color indexed="81"/>
            <rFont val="Tahoma"/>
            <charset val="1"/>
          </rPr>
          <t>FF RATE refers to the hourly pay actually received for those 26 hours.  It is the same as shift firefighters of equal grade and step receive.</t>
        </r>
      </text>
    </comment>
    <comment ref="C112" authorId="0" shapeId="0" xr:uid="{00000000-0006-0000-0700-000069000000}">
      <text>
        <r>
          <rPr>
            <b/>
            <sz val="8"/>
            <color indexed="81"/>
            <rFont val="Tahoma"/>
            <charset val="1"/>
          </rPr>
          <t xml:space="preserve">OT PAY refers to overtime pay earned for all hours beyond 106.  On your LES, it is referred to as "OT IN TOUR."
</t>
        </r>
      </text>
    </comment>
    <comment ref="C113" authorId="0" shapeId="0" xr:uid="{00000000-0006-0000-0700-00006A000000}">
      <text>
        <r>
          <rPr>
            <b/>
            <sz val="8"/>
            <color indexed="81"/>
            <rFont val="Tahoma"/>
            <charset val="1"/>
          </rPr>
          <t>OT RATE refers to 1 1/2 times the FF hourly rate.  It is less than GS overtime.</t>
        </r>
      </text>
    </comment>
    <comment ref="C114" authorId="0" shapeId="0" xr:uid="{00000000-0006-0000-0700-00006B000000}">
      <text>
        <r>
          <rPr>
            <b/>
            <sz val="8"/>
            <color indexed="81"/>
            <rFont val="Tahoma"/>
            <charset val="1"/>
          </rPr>
          <t xml:space="preserve">COLA refers to the Non-Foreign Cost of Living Allowance federal workers receive when employed outside the continental U.S.
</t>
        </r>
      </text>
    </comment>
    <comment ref="C115" authorId="0" shapeId="0" xr:uid="{00000000-0006-0000-0700-00006C000000}">
      <text>
        <r>
          <rPr>
            <b/>
            <sz val="8"/>
            <color indexed="81"/>
            <rFont val="Tahoma"/>
            <charset val="1"/>
          </rPr>
          <t>PAY PERIOD refers to the actual gross pay you should receive each pay period.  It is derived by adding GS, FF, and OT pay together plus COLA (if applicable).</t>
        </r>
      </text>
    </comment>
    <comment ref="C116" authorId="0" shapeId="0" xr:uid="{00000000-0006-0000-0700-00006D000000}">
      <text>
        <r>
          <rPr>
            <b/>
            <sz val="8"/>
            <color indexed="81"/>
            <rFont val="Tahoma"/>
            <charset val="1"/>
          </rPr>
          <t xml:space="preserve">ANNUAL PAY refers to the actual gross pay you should receive for 26 or 27 (if applicable) pay periods.  
</t>
        </r>
      </text>
    </comment>
    <comment ref="C117" authorId="0" shapeId="0" xr:uid="{00000000-0006-0000-0700-00006E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 ref="C118" authorId="0" shapeId="0" xr:uid="{00000000-0006-0000-0700-00006F000000}">
      <text>
        <r>
          <rPr>
            <b/>
            <sz val="8"/>
            <color indexed="81"/>
            <rFont val="Tahoma"/>
            <charset val="1"/>
          </rPr>
          <t xml:space="preserve">GS BASE PAY refers to the amount listed in block 7 of your LES and is used by this program to calculate hourly rates only!  It is </t>
        </r>
        <r>
          <rPr>
            <b/>
            <u/>
            <sz val="8"/>
            <color indexed="81"/>
            <rFont val="Tahoma"/>
            <family val="2"/>
          </rPr>
          <t>not</t>
        </r>
        <r>
          <rPr>
            <b/>
            <sz val="8"/>
            <color indexed="81"/>
            <rFont val="Tahoma"/>
            <charset val="1"/>
          </rPr>
          <t xml:space="preserve"> a federal firefighter's true base pay and should not be used for calculating retirement, TSP, life insurance, etc.</t>
        </r>
      </text>
    </comment>
    <comment ref="C119" authorId="0" shapeId="0" xr:uid="{00000000-0006-0000-0700-000070000000}">
      <text>
        <r>
          <rPr>
            <b/>
            <sz val="8"/>
            <color indexed="81"/>
            <rFont val="Tahoma"/>
            <charset val="1"/>
          </rPr>
          <t xml:space="preserve">GS PAY refers to amount earned for the regular 80 hours a pay period (40 a week).  On your LES, it is referred to as "REGULAR PAY."
</t>
        </r>
      </text>
    </comment>
    <comment ref="C120" authorId="0" shapeId="0" xr:uid="{00000000-0006-0000-0700-000071000000}">
      <text>
        <r>
          <rPr>
            <b/>
            <sz val="8"/>
            <color indexed="81"/>
            <rFont val="Tahoma"/>
            <charset val="1"/>
          </rPr>
          <t xml:space="preserve">GS RATE refers to the hourly pay actually received for those 80 hours.  It is the normal GS rate.
</t>
        </r>
      </text>
    </comment>
    <comment ref="C121" authorId="0" shapeId="0" xr:uid="{00000000-0006-0000-0700-000072000000}">
      <text>
        <r>
          <rPr>
            <b/>
            <sz val="8"/>
            <color indexed="81"/>
            <rFont val="Tahoma"/>
            <charset val="1"/>
          </rPr>
          <t xml:space="preserve">FF PAY refers to the amount earned for 26 hours a pay period (hours 41 to 53 a week).  On your LES, it is also referred to as "REGULAR PAY."
</t>
        </r>
      </text>
    </comment>
    <comment ref="C122" authorId="0" shapeId="0" xr:uid="{00000000-0006-0000-0700-000073000000}">
      <text>
        <r>
          <rPr>
            <b/>
            <sz val="8"/>
            <color indexed="81"/>
            <rFont val="Tahoma"/>
            <charset val="1"/>
          </rPr>
          <t>FF RATE refers to the hourly pay actually received for those 26 hours.  It is the same as shift firefighters of equal grade and step receive.</t>
        </r>
      </text>
    </comment>
    <comment ref="C123" authorId="0" shapeId="0" xr:uid="{00000000-0006-0000-0700-000074000000}">
      <text>
        <r>
          <rPr>
            <b/>
            <sz val="8"/>
            <color indexed="81"/>
            <rFont val="Tahoma"/>
            <charset val="1"/>
          </rPr>
          <t xml:space="preserve">OT PAY refers to overtime pay earned for all hours beyond 106.  On your LES, it is referred to as "OT IN TOUR."
</t>
        </r>
      </text>
    </comment>
    <comment ref="C124" authorId="0" shapeId="0" xr:uid="{00000000-0006-0000-0700-000075000000}">
      <text>
        <r>
          <rPr>
            <b/>
            <sz val="8"/>
            <color indexed="81"/>
            <rFont val="Tahoma"/>
            <charset val="1"/>
          </rPr>
          <t>OT RATE refers to 1 1/2 times the FF hourly rate.  It is less than GS overtime.</t>
        </r>
      </text>
    </comment>
    <comment ref="C125" authorId="0" shapeId="0" xr:uid="{00000000-0006-0000-0700-000076000000}">
      <text>
        <r>
          <rPr>
            <b/>
            <sz val="8"/>
            <color indexed="81"/>
            <rFont val="Tahoma"/>
            <charset val="1"/>
          </rPr>
          <t xml:space="preserve">COLA refers to the Non-Foreign Cost of Living Allowance federal workers receive when employed outside the continental U.S.
</t>
        </r>
      </text>
    </comment>
    <comment ref="C126" authorId="0" shapeId="0" xr:uid="{00000000-0006-0000-0700-000077000000}">
      <text>
        <r>
          <rPr>
            <b/>
            <sz val="8"/>
            <color indexed="81"/>
            <rFont val="Tahoma"/>
            <charset val="1"/>
          </rPr>
          <t>PAY PERIOD refers to the actual gross pay you should receive each pay period.  It is derived by adding GS, FF, and OT pay together plus COLA (if applicable).</t>
        </r>
      </text>
    </comment>
    <comment ref="C127" authorId="0" shapeId="0" xr:uid="{00000000-0006-0000-0700-000078000000}">
      <text>
        <r>
          <rPr>
            <b/>
            <sz val="8"/>
            <color indexed="81"/>
            <rFont val="Tahoma"/>
            <charset val="1"/>
          </rPr>
          <t xml:space="preserve">ANNUAL PAY refers to the actual gross pay you should receive for 26 or 27 (if applicable) pay periods.  
</t>
        </r>
      </text>
    </comment>
    <comment ref="C128" authorId="0" shapeId="0" xr:uid="{00000000-0006-0000-0700-000079000000}">
      <text>
        <r>
          <rPr>
            <b/>
            <sz val="8"/>
            <color indexed="81"/>
            <rFont val="Tahoma"/>
            <charset val="1"/>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<sst xmlns="http://schemas.openxmlformats.org/spreadsheetml/2006/main" count="535" uniqueCount="218">
  <si>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</si>
  <si>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</si>
  <si>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</si>
  <si>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</si>
  <si>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</si>
  <si>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</si>
  <si>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</si>
  <si>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</si>
  <si>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</si>
  <si>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</si>
  <si>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</si>
  <si>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</si>
  <si>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</si>
  <si>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</si>
  <si>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</si>
  <si>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</si>
  <si>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</si>
  <si>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</si>
  <si>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</si>
  <si>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</si>
  <si>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</si>
  <si>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</si>
  <si>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</si>
  <si>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</si>
  <si>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</si>
  <si>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</si>
  <si>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</si>
  <si>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</si>
  <si>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</si>
  <si>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</si>
  <si>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</si>
  <si>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</si>
  <si>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</si>
  <si>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</si>
  <si>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</si>
  <si>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r>
      <t>PAY PERIODS:</t>
    </r>
    <r>
      <rPr>
        <sz val="10"/>
        <rFont val="Arial"/>
        <family val="2"/>
      </rPr>
      <t xml:space="preserve">  Most years contain 26 pay periods, which this file was initially set-up for.  However, some years do contain 27</t>
    </r>
  </si>
  <si>
    <t>pay periods.  This will cause the annual totals to be a paycheck short.  To correct this, simply change the number of pay periods</t>
  </si>
  <si>
    <t xml:space="preserve">in the space below to 27.  Remember, you will need to change it back the following year.   </t>
  </si>
  <si>
    <t># of pay periods:</t>
  </si>
  <si>
    <t>Locality:</t>
  </si>
  <si>
    <t>FEDERAL FIREFIGHTER PAY CHART</t>
  </si>
  <si>
    <t>This is NOT an official pay chart.</t>
  </si>
  <si>
    <t>GENERAL SCHEDULE PAY CHART</t>
  </si>
  <si>
    <t>hours a week for those firefighters working 24 hour shifts and</t>
  </si>
  <si>
    <t>Shift Schedule:</t>
  </si>
  <si>
    <t>One night a week:</t>
  </si>
  <si>
    <t>Hours</t>
  </si>
  <si>
    <t>FF PAY</t>
  </si>
  <si>
    <t>OT  PAY</t>
  </si>
  <si>
    <t>HOURS</t>
  </si>
  <si>
    <r>
      <t>WORK SCHEDULE:</t>
    </r>
    <r>
      <rPr>
        <sz val="10"/>
        <rFont val="Arial"/>
        <family val="2"/>
      </rPr>
      <t xml:space="preserve">  There are two main firefighter pay charts--one for 24 hour shift firefighters, and one for the firefighters who</t>
    </r>
  </si>
  <si>
    <t xml:space="preserve">schedules--72 hours a week, 60 hours, and 56 hours.  Firefighters working less than 53 hours a week are not covered by these </t>
  </si>
  <si>
    <t>GS PAY</t>
  </si>
  <si>
    <t>RAISE</t>
  </si>
  <si>
    <r>
      <t>SAVING YOUR CHANGES:</t>
    </r>
    <r>
      <rPr>
        <sz val="10"/>
        <rFont val="Arial"/>
        <family val="2"/>
      </rPr>
      <t xml:space="preserve">  If you are making temporary changes only, do not click save when you are done.  When you exit, </t>
    </r>
  </si>
  <si>
    <t xml:space="preserve">click "NO" when it asks you if you want to save the changes.  This way the file will revert back to the original settings.  If your </t>
  </si>
  <si>
    <t xml:space="preserve">changes are permanent, I recommend using the "SAVE AS" feature and then giving the new file a different name, such as the </t>
  </si>
  <si>
    <t xml:space="preserve">locality area.  Again, this will preserve the original file in case there is a problem with the new one.  It is always nice to have the </t>
  </si>
  <si>
    <t>original to fall back on.</t>
  </si>
  <si>
    <t>The following paragraphs will provide the information necessary to change or update the settings.</t>
  </si>
  <si>
    <t xml:space="preserve">hours a week for firefighters with an embedded 40 hour workweek.  The number of pay periods is </t>
  </si>
  <si>
    <t xml:space="preserve">       SPECIAL RATE PAY CHART</t>
  </si>
  <si>
    <r>
      <t>WARNING:</t>
    </r>
    <r>
      <rPr>
        <b/>
        <sz val="10"/>
        <rFont val="Arial"/>
        <family val="2"/>
      </rPr>
      <t xml:space="preserve">     *DO NOT USE THIS CHART UNLESS YOU ARE PAID A SPECIAL SALARY RATE.*  </t>
    </r>
  </si>
  <si>
    <t>The calculated base pay will be used when a space is blank.</t>
  </si>
  <si>
    <t>above will no longer apply to the affected Grade and Step.</t>
  </si>
  <si>
    <t xml:space="preserve">spreadsheets altogether, the first being this "Start Page."  The others are labeled "Special Rates", "GS Pay Scale", "Shift </t>
  </si>
  <si>
    <r>
      <t xml:space="preserve">SPECIAL PAY RATES:  </t>
    </r>
    <r>
      <rPr>
        <sz val="10"/>
        <rFont val="Arial"/>
        <family val="2"/>
      </rPr>
      <t xml:space="preserve">Some firefighters earn special rate base pay in lieu of the locality system.  To accommodate this, a </t>
    </r>
  </si>
  <si>
    <t>Entries on this chart will change the final figures on the Firefighter pay charts.</t>
  </si>
  <si>
    <t xml:space="preserve">figures you enter below.  No Locality will be included--the Base Pay you enter is the amount used for the Firefighter pay charts. </t>
  </si>
  <si>
    <t xml:space="preserve">Note: If any special pay was entered, these figures will reflect those changes.  The locality area and rate shown </t>
  </si>
  <si>
    <t xml:space="preserve">CHANGING LOCALITIES or COLA's:  </t>
  </si>
  <si>
    <t>IMPORTANT NOTE:  You either receive locality pay or a COLA.  You do not receive both.</t>
  </si>
  <si>
    <t>with all firefighter schedules.  The current schedule is</t>
  </si>
  <si>
    <t>COLA (If used)</t>
  </si>
  <si>
    <t>Steps</t>
  </si>
  <si>
    <t>GS-3</t>
  </si>
  <si>
    <t>GS-4</t>
  </si>
  <si>
    <t>GS-5</t>
  </si>
  <si>
    <t>GS-6</t>
  </si>
  <si>
    <t>GS-7</t>
  </si>
  <si>
    <t>GS-8</t>
  </si>
  <si>
    <t>GS-9</t>
  </si>
  <si>
    <t>GS-10</t>
  </si>
  <si>
    <t>GS-11</t>
  </si>
  <si>
    <t>GS-12</t>
  </si>
  <si>
    <t>GS-13</t>
  </si>
  <si>
    <t>Year</t>
  </si>
  <si>
    <t>Raise</t>
  </si>
  <si>
    <t>GENERAL SCHEDULE PAY - NO LOCALITY</t>
  </si>
  <si>
    <t xml:space="preserve">work a regular 40 hour workweek but also stay one night a week (Fire Chief, Fire Inspectors, etc).  There are three hourly </t>
  </si>
  <si>
    <r>
      <t xml:space="preserve">separate spreadsheet is included.  This sheet allows users to </t>
    </r>
    <r>
      <rPr>
        <u/>
        <sz val="10"/>
        <rFont val="Arial"/>
        <family val="2"/>
      </rPr>
      <t>manually</t>
    </r>
    <r>
      <rPr>
        <sz val="10"/>
        <rFont val="Arial"/>
      </rPr>
      <t xml:space="preserve"> enter the appropriate special rates.  If any special rates</t>
    </r>
  </si>
  <si>
    <t xml:space="preserve">are entered, they will override the GS Base Pay calculated by this program.  To enter special rates, first complete any applicable </t>
  </si>
  <si>
    <t xml:space="preserve">changes above, then proceed to the next spreadsheet, labeled "Special Rates" for more info.  </t>
  </si>
  <si>
    <t>Honolulu</t>
  </si>
  <si>
    <r>
      <t>FILE SPREADSHEETS:</t>
    </r>
    <r>
      <rPr>
        <sz val="10"/>
        <rFont val="Arial"/>
        <family val="2"/>
      </rPr>
      <t xml:space="preserve">  Once you have made any necessary adjustments, you can proceed to the pay charts.  There are five </t>
    </r>
  </si>
  <si>
    <t>Note: Enter the number only.  The $ sign is automatic.  Also leave blank any grade and/or step that does not apply.</t>
  </si>
  <si>
    <t xml:space="preserve">This chart is used to enter any special salary rates your organization may receive.  The way it works is to override base pay  </t>
  </si>
  <si>
    <t xml:space="preserve">calculations derived from the Start Page settings.  It replaces the GS Base Pay that was calculated by this program with the  </t>
  </si>
  <si>
    <t xml:space="preserve">Note: If any special pay was entered, these figures will reflect those changes.  The locality area and rate will no longer apply to the affected Grade and Step. </t>
  </si>
  <si>
    <t xml:space="preserve">Firefighters", "Fire Chiefs, Fire Inspectors."  To view a chart, click on the appropriate tab located along the bottom of the screen. </t>
  </si>
  <si>
    <t xml:space="preserve">Once you have the chart you want and have verified the settings are correct, you can print several hardcopies to hand out.  If </t>
  </si>
  <si>
    <t>you need to make further changes, just return to the "Start Page" to enter the new settings.</t>
  </si>
  <si>
    <t>Developed by Anthony J. Fanchi</t>
  </si>
  <si>
    <t>Atlanta-Sandy Springs-Gainesville, GA-AL</t>
  </si>
  <si>
    <t>Boston-Worcester-Manchester, MA-NH-ME-RI</t>
  </si>
  <si>
    <t>Buffalo-Niagara-Cattaraugus, NY</t>
  </si>
  <si>
    <t>Chicago-Naperville-Michigan City, IL-IN-WI</t>
  </si>
  <si>
    <t>Cincinnati-Middletown-Wilmington, OH-KY-IN</t>
  </si>
  <si>
    <t>Cleveland-Akron-Elyria, OH</t>
  </si>
  <si>
    <t>Columbus-Marion-Chillicothe, OH</t>
  </si>
  <si>
    <t>Dallas-Fort Worth, TX</t>
  </si>
  <si>
    <t>Dayton-Springfield-Greenville, OH</t>
  </si>
  <si>
    <t>Denver-Aurora-Boulder, CO</t>
  </si>
  <si>
    <t>Detroit-Warren-Flint, MI</t>
  </si>
  <si>
    <t>Hartford-West Hartford-Willimantic, CT-MA</t>
  </si>
  <si>
    <t>Houston-Baytown-Huntsville, TX</t>
  </si>
  <si>
    <t>Huntsville-Decatur, AL</t>
  </si>
  <si>
    <t>Indianapolis-Anderson-Columbus, IN</t>
  </si>
  <si>
    <t>Los Angeles-Long Beach-Riverside, CA</t>
  </si>
  <si>
    <t>Miami-Fort Lauderdale-Miami Beach, FL</t>
  </si>
  <si>
    <t>Milwaukee-Racine-Waukesha, WI</t>
  </si>
  <si>
    <t>Minneapolis-St. Paul-St. Cloud, MN-WI</t>
  </si>
  <si>
    <t>New York-Newark-Bridgeport, NY-NJ-CT-PA</t>
  </si>
  <si>
    <t>Philadelphia-Camden-Vineland, PA-NJ-DE-MD</t>
  </si>
  <si>
    <t>Phoenix-Mesa-Scottsdale, AZ</t>
  </si>
  <si>
    <t>Pittsburgh-New Castle, PA</t>
  </si>
  <si>
    <t>Portland-Vancouver-Beaverton, OR-WA</t>
  </si>
  <si>
    <t>Raleigh-Durham-Cary, NC</t>
  </si>
  <si>
    <t>Richmond, VA</t>
  </si>
  <si>
    <t>Sacramento--Arden-Arcade--Truckee, CA-NV</t>
  </si>
  <si>
    <t>San Diego-Carlsbad-San Marcos, CA</t>
  </si>
  <si>
    <t>San Jose-San Francisco-Oakland, CA</t>
  </si>
  <si>
    <t>Seattle-Tacoma-Olympia, WA</t>
  </si>
  <si>
    <t>Washington-Baltimore-Northern Virginia, DC-MD-PA-VA-WV</t>
  </si>
  <si>
    <t>Rest of U.S.</t>
  </si>
  <si>
    <t>Locality Pay Area [1]</t>
  </si>
  <si>
    <t>New Locality Rate [2]</t>
  </si>
  <si>
    <t>charts.  To change an hourly schedule, click on the appropriate space below and select the new hours.</t>
  </si>
  <si>
    <t>Rest of Alaska</t>
  </si>
  <si>
    <t>U.S. Virgin Islands</t>
  </si>
  <si>
    <t xml:space="preserve">Anchorage </t>
  </si>
  <si>
    <t>Fairbanks</t>
  </si>
  <si>
    <t>Juneau</t>
  </si>
  <si>
    <t>Hawaii (County)</t>
  </si>
  <si>
    <t>Kauai</t>
  </si>
  <si>
    <t>Maui and Kalawao</t>
  </si>
  <si>
    <t>Guam and Northern Mariana Islands</t>
  </si>
  <si>
    <t>Puerto Rico</t>
  </si>
  <si>
    <t>Set for Rest of US initially.  Change as needed.</t>
  </si>
  <si>
    <t>COLA = 1</t>
  </si>
  <si>
    <t>Locality/COLA:</t>
  </si>
  <si>
    <t>Locality Rate:</t>
  </si>
  <si>
    <t>(If Applicable)</t>
  </si>
  <si>
    <t>Basic Pay (No Locality or COLA)</t>
  </si>
  <si>
    <t xml:space="preserve">unsure of your locality/COLA area, contact your payroll adviser for assistance.  Once this information has been changed, the pay  </t>
  </si>
  <si>
    <t>Locality/COLA Rate:</t>
  </si>
  <si>
    <t>Locality/COLA Area:</t>
  </si>
  <si>
    <t>Payperiods</t>
  </si>
  <si>
    <t xml:space="preserve">and the locality / COLA area is </t>
  </si>
  <si>
    <t>http://www.dodfire.com</t>
  </si>
  <si>
    <t>and</t>
  </si>
  <si>
    <t>http://www.iaff16.org</t>
  </si>
  <si>
    <t>To add a raise, click on the block for the appropriate year and change the 0.00 to the raise amount.  If you decide to skip a year,</t>
  </si>
  <si>
    <t>Applicable year:</t>
  </si>
  <si>
    <t>[1] Locality pay areas are defined in 5 CFR 531.603(b) and are available at http://www.opm.gov/oca/08tables/locdef.asp.</t>
  </si>
  <si>
    <t>[2] The 2008 locality rate replaces the 2007 rate. It is not paid in addition to or on top of the 2007 locality rate.</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</si>
  <si>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</si>
  <si>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</si>
  <si>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</si>
  <si>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</si>
  <si>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</si>
  <si>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Note: If the settings are correct, you may proceed directly to the pay charts--click the appropriate tab below.</t>
  </si>
  <si>
    <t xml:space="preserve">comments to each category of pay on the main charts.  They are identified by the small red triangle in each cell.  Simply move </t>
  </si>
  <si>
    <r>
      <t xml:space="preserve">the cursor over each cell to read the comment.  In addition, I have renamed the </t>
    </r>
    <r>
      <rPr>
        <b/>
        <i/>
        <sz val="10"/>
        <rFont val="Arial"/>
        <family val="2"/>
      </rPr>
      <t>Retirement</t>
    </r>
    <r>
      <rPr>
        <sz val="10"/>
        <rFont val="Arial"/>
        <family val="2"/>
      </rPr>
      <t xml:space="preserve"> category to </t>
    </r>
    <r>
      <rPr>
        <b/>
        <i/>
        <sz val="10"/>
        <rFont val="Arial"/>
        <family val="2"/>
      </rPr>
      <t>FF Base Pay.</t>
    </r>
    <r>
      <rPr>
        <sz val="10"/>
        <rFont val="Arial"/>
        <family val="2"/>
      </rPr>
      <t xml:space="preserve">  The</t>
    </r>
  </si>
  <si>
    <t>comments will help explain what each category represents.</t>
  </si>
  <si>
    <t>Special Note:  This chart is for reference only!  It should match the pay charts on OPM's website.  It does not reflect the pay of a federal firefighter.</t>
  </si>
  <si>
    <t>you must not skip any annual raises.  (Example: You update each year except 2010.  When you enter the raise for 2011, the</t>
  </si>
  <si>
    <t>amount will be added to the last pay established--in this case 2009, not 2010.)  If you did skip a year or more, you must go back</t>
  </si>
  <si>
    <t>and enter each raise missed for the current pay to be correct. (Hint: If the year shown on the charts is wrong, you probably</t>
  </si>
  <si>
    <t>skipped a raise.)</t>
  </si>
  <si>
    <r>
      <t xml:space="preserve">Note: Raise's should reflect the General Increase only and not the locality increase.  </t>
    </r>
    <r>
      <rPr>
        <sz val="10"/>
        <rFont val="Arial"/>
        <family val="2"/>
      </rPr>
      <t xml:space="preserve">(Examples: 1999's General Increase </t>
    </r>
  </si>
  <si>
    <t>was 3.1%, while the average total raise, including locality, was 3.6%.  In that case, the correct amount to enter was 3.1%.  2000's</t>
  </si>
  <si>
    <t xml:space="preserve">General Increase was 3.8%, and the average total raise was 4.8%.  The correct amount to enter: 3.8%.)  The locality increase will </t>
  </si>
  <si>
    <t xml:space="preserve">be included in the new locality percentage rate. </t>
  </si>
  <si>
    <r>
      <t xml:space="preserve">Note: If there is no General Increase in a given year, enter N/A in the appropriate block.  </t>
    </r>
    <r>
      <rPr>
        <sz val="10"/>
        <rFont val="Arial"/>
        <family val="2"/>
      </rPr>
      <t>This will tell the file to change</t>
    </r>
    <r>
      <rPr>
        <b/>
        <sz val="10"/>
        <rFont val="Arial"/>
        <family val="2"/>
      </rPr>
      <t xml:space="preserve">  </t>
    </r>
  </si>
  <si>
    <t xml:space="preserve">over to the new year, even though there is no raise.  Again, locality increases do not apply here--only the general one (Example: </t>
  </si>
  <si>
    <t>1994 was the first year we received a locality adjustment, but there was no general increase to go with it).</t>
  </si>
  <si>
    <t>Important Note: When you enter a raise into the program, you will produce estimated salaries only.  When OPM posts</t>
  </si>
  <si>
    <t xml:space="preserve">year I create a new program with updated salaries, which is posted at </t>
  </si>
  <si>
    <t>Examples</t>
  </si>
  <si>
    <t>N/A</t>
  </si>
  <si>
    <t>FEDERAL FIREFIGHTER PAY PROGRAM</t>
  </si>
  <si>
    <t xml:space="preserve">next year's pay charts on their web-site, the salaries do not always exactly match the numbers in this program.  The </t>
  </si>
  <si>
    <t xml:space="preserve">current year should be correct since the base numbers are directly from OPM's site; however, minor errors may develop </t>
  </si>
  <si>
    <t>in later years.  The resulting pay charts may not be accurate, but will be close.  I apologize for any inconvenience.  Every</t>
  </si>
  <si>
    <t xml:space="preserve">U.S.  Since I've never worked overseas, I have no easy way to verify if the figures are correct, unless someone tells me otherwise.  </t>
  </si>
  <si>
    <t>If anyone notices an error in COLA calculations, please e-mail me using the link above.</t>
  </si>
  <si>
    <r>
      <t xml:space="preserve">COLA Rate: </t>
    </r>
    <r>
      <rPr>
        <sz val="10"/>
        <rFont val="Arial"/>
        <family val="2"/>
      </rPr>
      <t xml:space="preserve">Refers to the Non-Foreign Cost of Living Allowance federal workers receive when employed outside the continental </t>
    </r>
  </si>
  <si>
    <r>
      <t xml:space="preserve">Locality/COLA Rate: </t>
    </r>
    <r>
      <rPr>
        <sz val="10"/>
        <rFont val="Arial"/>
      </rPr>
      <t xml:space="preserve">To change the rate, click on the tab below to select from the list of all the locality/COLA areas.  If you are </t>
    </r>
  </si>
  <si>
    <r>
      <t>Future increases:</t>
    </r>
    <r>
      <rPr>
        <sz val="10"/>
        <rFont val="Arial"/>
      </rPr>
      <t xml:space="preserve"> If you want to manually change the locality rate in the coming years, enter the new rate in the red block below; </t>
    </r>
  </si>
  <si>
    <t xml:space="preserve">however, you still need to select the correct area.  Please note not to use this block until next year's raise.  The current rates are </t>
  </si>
  <si>
    <t>charts will automatically reflect the correct locality rate.</t>
  </si>
  <si>
    <t>I have also restored the capability to manual change the locality rate starting next year.  Therefore, you do not have to wait on</t>
  </si>
  <si>
    <t>enter N/A in the block.  Please type in the number only.  DO NOT enter the % symbol.</t>
  </si>
  <si>
    <t>Manual locality raises only!  Do not use in 2009!</t>
  </si>
  <si>
    <r>
      <t>ANNUAL GENERAL SCHEDULE INCREASES:</t>
    </r>
    <r>
      <rPr>
        <sz val="10"/>
        <rFont val="Arial"/>
        <family val="2"/>
      </rPr>
      <t xml:space="preserve">  This file is initially set-up for the year 2009.  In order for it to be updated correctly, </t>
    </r>
  </si>
  <si>
    <r>
      <t xml:space="preserve">Note: </t>
    </r>
    <r>
      <rPr>
        <sz val="10"/>
        <rFont val="Arial"/>
        <family val="2"/>
      </rPr>
      <t>It has been brought to my attention, that some people are confused about GS Base Pay and how it applies to federal</t>
    </r>
  </si>
  <si>
    <r>
      <t xml:space="preserve">firefighters.  There was also some confusion about the amount I listed as </t>
    </r>
    <r>
      <rPr>
        <b/>
        <i/>
        <sz val="10"/>
        <rFont val="Arial"/>
        <family val="2"/>
      </rPr>
      <t>Retirement</t>
    </r>
    <r>
      <rPr>
        <sz val="10"/>
        <rFont val="Arial"/>
        <family val="2"/>
      </rPr>
      <t>.  To help clear things up, I've added</t>
    </r>
  </si>
  <si>
    <r>
      <t xml:space="preserve">It is designed to easily convert to any other locality/COLA, and can be updated annually with </t>
    </r>
    <r>
      <rPr>
        <b/>
        <sz val="10"/>
        <rFont val="Arial"/>
        <family val="2"/>
      </rPr>
      <t>estimated</t>
    </r>
    <r>
      <rPr>
        <sz val="10"/>
        <rFont val="Arial"/>
      </rPr>
      <t xml:space="preserve"> raises.  The file works   </t>
    </r>
  </si>
  <si>
    <r>
      <t xml:space="preserve">next year's program to </t>
    </r>
    <r>
      <rPr>
        <b/>
        <sz val="10"/>
        <rFont val="Arial"/>
        <family val="2"/>
      </rPr>
      <t>estimate</t>
    </r>
    <r>
      <rPr>
        <sz val="10"/>
        <rFont val="Arial"/>
      </rPr>
      <t xml:space="preserve"> you new salary.  The rates for 2009 are already provided for you.</t>
    </r>
  </si>
  <si>
    <t>already loaded into the system.  For information and comparison, here are all the areas and rates.</t>
  </si>
  <si>
    <t>COLA</t>
  </si>
  <si>
    <t>Locality Rates</t>
  </si>
  <si>
    <t>American Samoa</t>
  </si>
  <si>
    <t>Johnston and Sand Island</t>
  </si>
  <si>
    <t>Midway Islands</t>
  </si>
  <si>
    <t>Wake Island</t>
  </si>
  <si>
    <r>
      <t xml:space="preserve">FILE SETTINGS:  </t>
    </r>
    <r>
      <rPr>
        <sz val="10"/>
        <rFont val="Arial"/>
        <family val="2"/>
      </rPr>
      <t xml:space="preserve">This program is currently set-up for the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</si>
</sst>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26" x14ac:knownFonts="1">
    <font>
      <sz val="10"/>
      <name val="Arial"/>
    </font>
    <font>
      <sz val="10"/>
      <name val="Arial"/>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ont>
    <font>
      <b/>
      <u/>
      <sz val="24"/>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ont>
    <font>
      <b/>
      <sz val="10"/>
      <name val="Arial"/>
    </font>
    <font>
      <u/>
      <sz val="10"/>
      <name val="Arial"/>
    </font>
    <font>
      <b/>
      <sz val="10"/>
      <color indexed="10"/>
      <name val="Arial"/>
      <family val="2"/>
    </font>
    <font>
      <b/>
      <sz val="8"/>
      <color indexed="81"/>
      <name val="Tahoma"/>
      <charset val="1"/>
    </font>
    <font>
      <b/>
      <u/>
      <sz val="8"/>
      <color indexed="81"/>
      <name val="Tahoma"/>
      <family val="2"/>
    </font>
    <font>
      <sz val="10"/>
      <color indexed="10"/>
      <name val="Arial"/>
    </font>
  </fonts>
  <fills count="4">
    <fill>
      <patternFill patternType="none"/>
    </fill>
    <fill>
      <patternFill patternType="gray125"/>
    </fill>
    <fill>
      <patternFill patternType="solid">
        <fgColor indexed="9"/>
        <bgColor indexed="64"/>
      </patternFill>
    </fill>
    <fill>
      <patternFill patternType="solid">
        <fgColor indexed="1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9" fontId="1" fillId="0" borderId="0" applyFont="0" applyFill="0" applyBorder="0" applyAlignment="0" applyProtection="0"/>
  </cellStyleXfs>
  <cellXfs count="138">
    <xf numFmtId="0" fontId="0" fillId="0" borderId="0" xfId="0"/>
    <xf numFmtId="0" fontId="4" fillId="0" borderId="0" xfId="0" applyFont="1" applyBorder="1"/>
    <xf numFmtId="0" fontId="4"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4" fillId="0" borderId="2" xfId="0" applyFont="1" applyBorder="1" applyAlignment="1">
      <alignment horizontal="center" wrapText="1"/>
    </xf>
    <xf numFmtId="10" fontId="4" fillId="0" borderId="0" xfId="0" applyNumberFormat="1" applyFont="1" applyBorder="1" applyAlignment="1">
      <alignment horizontal="center"/>
    </xf>
    <xf numFmtId="0" fontId="0" fillId="0" borderId="0" xfId="0" applyFill="1"/>
    <xf numFmtId="0" fontId="14" fillId="0" borderId="0" xfId="0" applyFont="1" applyFill="1" applyAlignment="1">
      <alignment horizontal="center"/>
    </xf>
    <xf numFmtId="0" fontId="14" fillId="0" borderId="0" xfId="0" applyFont="1" applyFill="1"/>
    <xf numFmtId="0" fontId="15" fillId="0" borderId="0" xfId="0" applyFont="1" applyFill="1" applyAlignment="1">
      <alignment horizontal="left"/>
    </xf>
    <xf numFmtId="0" fontId="2" fillId="0" borderId="0" xfId="0" applyFont="1" applyFill="1"/>
    <xf numFmtId="0" fontId="2" fillId="0" borderId="1" xfId="0" applyFont="1" applyFill="1" applyBorder="1" applyAlignment="1">
      <alignment horizontal="center"/>
    </xf>
    <xf numFmtId="0" fontId="2" fillId="0" borderId="4" xfId="0" applyFont="1" applyFill="1" applyBorder="1" applyAlignment="1">
      <alignment horizontal="center"/>
    </xf>
    <xf numFmtId="0" fontId="0" fillId="0" borderId="5" xfId="0" applyFill="1" applyBorder="1"/>
    <xf numFmtId="44" fontId="5" fillId="0" borderId="5" xfId="1" applyFont="1" applyFill="1" applyBorder="1" applyAlignment="1">
      <alignment horizontal="center"/>
    </xf>
    <xf numFmtId="0" fontId="0" fillId="0" borderId="4" xfId="0" applyFill="1" applyBorder="1"/>
    <xf numFmtId="44" fontId="5" fillId="0" borderId="4" xfId="1" applyNumberFormat="1" applyFont="1" applyFill="1" applyBorder="1" applyAlignment="1">
      <alignment horizontal="right"/>
    </xf>
    <xf numFmtId="0" fontId="0" fillId="0" borderId="6" xfId="0" applyFill="1" applyBorder="1"/>
    <xf numFmtId="0" fontId="2" fillId="0" borderId="6" xfId="0" applyFont="1" applyFill="1" applyBorder="1" applyAlignment="1">
      <alignment horizontal="center"/>
    </xf>
    <xf numFmtId="0" fontId="2" fillId="0" borderId="4" xfId="0" applyFont="1" applyFill="1" applyBorder="1"/>
    <xf numFmtId="44" fontId="6" fillId="0" borderId="4" xfId="1" applyNumberFormat="1" applyFont="1" applyFill="1" applyBorder="1" applyAlignment="1">
      <alignment horizontal="right"/>
    </xf>
    <xf numFmtId="0" fontId="8" fillId="0" borderId="7" xfId="0" applyFont="1" applyFill="1" applyBorder="1" applyAlignment="1">
      <alignment horizontal="right"/>
    </xf>
    <xf numFmtId="0" fontId="8" fillId="0" borderId="7" xfId="0" applyFont="1" applyFill="1" applyBorder="1"/>
    <xf numFmtId="44" fontId="7" fillId="0" borderId="7" xfId="1" applyNumberFormat="1" applyFont="1" applyFill="1" applyBorder="1" applyAlignment="1">
      <alignment horizontal="right"/>
    </xf>
    <xf numFmtId="44" fontId="7" fillId="0" borderId="2" xfId="1" applyNumberFormat="1" applyFont="1" applyFill="1" applyBorder="1" applyAlignment="1">
      <alignment horizontal="right"/>
    </xf>
    <xf numFmtId="0" fontId="9" fillId="0" borderId="0" xfId="0" applyFont="1" applyFill="1"/>
    <xf numFmtId="0" fontId="2" fillId="0" borderId="5" xfId="0" applyFont="1" applyFill="1" applyBorder="1" applyAlignment="1">
      <alignment horizontal="center"/>
    </xf>
    <xf numFmtId="44" fontId="5" fillId="0" borderId="4" xfId="1"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xf numFmtId="0" fontId="0" fillId="0" borderId="0" xfId="0" applyFill="1" applyBorder="1"/>
    <xf numFmtId="7" fontId="2" fillId="0" borderId="0" xfId="1" applyNumberFormat="1" applyFont="1" applyFill="1" applyBorder="1" applyAlignment="1">
      <alignment horizontal="left"/>
    </xf>
    <xf numFmtId="0" fontId="4" fillId="0" borderId="8" xfId="0" applyFont="1" applyFill="1" applyBorder="1"/>
    <xf numFmtId="44" fontId="0" fillId="0" borderId="5" xfId="1" applyFont="1" applyFill="1" applyBorder="1" applyAlignment="1">
      <alignment horizontal="right"/>
    </xf>
    <xf numFmtId="0" fontId="4" fillId="0" borderId="0" xfId="0" applyFont="1" applyFill="1" applyBorder="1"/>
    <xf numFmtId="0" fontId="4" fillId="0" borderId="4" xfId="0" applyFont="1" applyFill="1" applyBorder="1"/>
    <xf numFmtId="44" fontId="0" fillId="0" borderId="4" xfId="1" applyFont="1" applyFill="1" applyBorder="1" applyAlignment="1">
      <alignment horizontal="right"/>
    </xf>
    <xf numFmtId="44" fontId="4" fillId="0" borderId="4" xfId="1" applyFont="1" applyFill="1" applyBorder="1" applyAlignment="1">
      <alignment horizontal="right"/>
    </xf>
    <xf numFmtId="44" fontId="2" fillId="0" borderId="4" xfId="1" applyFont="1" applyFill="1" applyBorder="1" applyAlignment="1">
      <alignment horizontal="right"/>
    </xf>
    <xf numFmtId="44" fontId="8" fillId="0" borderId="7" xfId="1" applyFont="1" applyFill="1" applyBorder="1" applyAlignment="1">
      <alignment horizontal="right"/>
    </xf>
    <xf numFmtId="44" fontId="8" fillId="0" borderId="2" xfId="1" applyFont="1" applyFill="1" applyBorder="1" applyAlignment="1">
      <alignment horizontal="right"/>
    </xf>
    <xf numFmtId="0" fontId="9" fillId="0" borderId="0" xfId="0" applyFont="1" applyFill="1" applyBorder="1"/>
    <xf numFmtId="0" fontId="4" fillId="0" borderId="6" xfId="0" applyFont="1" applyFill="1" applyBorder="1"/>
    <xf numFmtId="0" fontId="17" fillId="0" borderId="0" xfId="0" applyFont="1" applyFill="1" applyAlignment="1">
      <alignment horizontal="left"/>
    </xf>
    <xf numFmtId="0" fontId="8" fillId="0" borderId="0" xfId="0" applyFont="1" applyFill="1" applyBorder="1"/>
    <xf numFmtId="0" fontId="2" fillId="0" borderId="0" xfId="0" applyFont="1" applyFill="1" applyBorder="1" applyAlignment="1">
      <alignment horizontal="right"/>
    </xf>
    <xf numFmtId="10" fontId="4" fillId="0" borderId="0" xfId="3" applyNumberFormat="1" applyFont="1" applyFill="1" applyBorder="1" applyAlignment="1">
      <alignment horizontal="center"/>
    </xf>
    <xf numFmtId="0" fontId="10" fillId="0" borderId="1" xfId="0" applyFont="1" applyFill="1" applyBorder="1" applyAlignment="1">
      <alignment wrapText="1"/>
    </xf>
    <xf numFmtId="0" fontId="9" fillId="0" borderId="1" xfId="0" applyFont="1" applyFill="1" applyBorder="1" applyAlignment="1">
      <alignment horizontal="right" wrapText="1"/>
    </xf>
    <xf numFmtId="0" fontId="9" fillId="0" borderId="1" xfId="0" applyFont="1" applyFill="1" applyBorder="1" applyAlignment="1">
      <alignment horizontal="center" wrapText="1"/>
    </xf>
    <xf numFmtId="0" fontId="4" fillId="0" borderId="1" xfId="0" applyFont="1" applyFill="1" applyBorder="1" applyAlignment="1">
      <alignment horizontal="center"/>
    </xf>
    <xf numFmtId="0" fontId="0" fillId="0" borderId="0" xfId="0" applyAlignment="1">
      <alignment horizontal="center"/>
    </xf>
    <xf numFmtId="0" fontId="0" fillId="0" borderId="0" xfId="0" applyFill="1" applyProtection="1"/>
    <xf numFmtId="0" fontId="2" fillId="0" borderId="0" xfId="0" applyFont="1" applyFill="1" applyProtection="1"/>
    <xf numFmtId="0" fontId="2" fillId="0" borderId="0" xfId="3" applyNumberFormat="1" applyFont="1" applyFill="1" applyAlignment="1" applyProtection="1">
      <alignment horizontal="center"/>
    </xf>
    <xf numFmtId="0" fontId="2" fillId="0" borderId="0" xfId="0" applyFont="1" applyFill="1" applyAlignment="1" applyProtection="1">
      <alignment horizontal="center"/>
    </xf>
    <xf numFmtId="0" fontId="16" fillId="0" borderId="0" xfId="0" applyFont="1" applyFill="1" applyProtection="1"/>
    <xf numFmtId="0" fontId="2"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Fill="1" applyProtection="1"/>
    <xf numFmtId="10" fontId="2" fillId="0" borderId="0" xfId="3" applyNumberFormat="1" applyFont="1" applyFill="1" applyBorder="1" applyAlignment="1" applyProtection="1">
      <alignment horizontal="left"/>
    </xf>
    <xf numFmtId="0" fontId="13" fillId="0" borderId="0" xfId="0" applyFont="1" applyFill="1" applyBorder="1" applyAlignment="1" applyProtection="1">
      <alignment horizontal="center"/>
    </xf>
    <xf numFmtId="10" fontId="4" fillId="0" borderId="0" xfId="0" applyNumberFormat="1" applyFont="1" applyFill="1" applyAlignment="1" applyProtection="1">
      <alignment horizontal="left"/>
    </xf>
    <xf numFmtId="0" fontId="2" fillId="0" borderId="1" xfId="0" applyFont="1" applyFill="1" applyBorder="1" applyAlignment="1" applyProtection="1">
      <alignment horizontal="center"/>
    </xf>
    <xf numFmtId="0" fontId="0" fillId="0" borderId="1" xfId="0"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13" fillId="2" borderId="0" xfId="0" applyNumberFormat="1" applyFont="1" applyFill="1" applyAlignment="1" applyProtection="1">
      <alignment horizontal="center"/>
      <protection locked="0"/>
    </xf>
    <xf numFmtId="2" fontId="0" fillId="2" borderId="1" xfId="0" applyNumberFormat="1" applyFill="1" applyBorder="1" applyAlignment="1" applyProtection="1">
      <alignment horizontal="center"/>
      <protection locked="0"/>
    </xf>
    <xf numFmtId="0" fontId="13" fillId="2" borderId="0" xfId="0" applyFont="1" applyFill="1" applyBorder="1" applyAlignment="1" applyProtection="1">
      <alignment horizontal="center"/>
      <protection locked="0"/>
    </xf>
    <xf numFmtId="0" fontId="16" fillId="0" borderId="0" xfId="0" applyFont="1" applyFill="1" applyBorder="1"/>
    <xf numFmtId="44" fontId="4" fillId="2" borderId="1" xfId="1" applyFont="1" applyFill="1" applyBorder="1" applyAlignment="1" applyProtection="1">
      <alignment horizontal="center"/>
      <protection locked="0"/>
    </xf>
    <xf numFmtId="44" fontId="4" fillId="0" borderId="1" xfId="1" applyFont="1" applyFill="1" applyBorder="1" applyAlignment="1">
      <alignment horizontal="center"/>
    </xf>
    <xf numFmtId="0" fontId="4" fillId="0" borderId="4" xfId="0" applyFont="1" applyFill="1" applyBorder="1" applyAlignment="1">
      <alignment horizontal="center"/>
    </xf>
    <xf numFmtId="0" fontId="4" fillId="0" borderId="0" xfId="0" applyFont="1" applyFill="1"/>
    <xf numFmtId="10" fontId="0" fillId="0" borderId="0" xfId="0" applyNumberFormat="1" applyFill="1" applyProtection="1"/>
    <xf numFmtId="0" fontId="4" fillId="0" borderId="9" xfId="0" applyFont="1" applyBorder="1" applyAlignment="1">
      <alignment horizontal="center" wrapText="1"/>
    </xf>
    <xf numFmtId="0" fontId="4" fillId="0" borderId="0" xfId="0" applyFont="1" applyBorder="1" applyAlignment="1">
      <alignment horizontal="center"/>
    </xf>
    <xf numFmtId="0" fontId="9" fillId="0" borderId="1" xfId="0" applyFont="1" applyBorder="1" applyAlignment="1">
      <alignment horizontal="center" wrapText="1"/>
    </xf>
    <xf numFmtId="0" fontId="9" fillId="0" borderId="9" xfId="0" applyFont="1" applyBorder="1" applyAlignment="1">
      <alignment horizontal="center" wrapText="1"/>
    </xf>
    <xf numFmtId="0" fontId="18" fillId="2" borderId="1" xfId="0" applyFont="1" applyFill="1" applyBorder="1" applyAlignment="1">
      <alignment horizontal="center" wrapText="1"/>
    </xf>
    <xf numFmtId="3" fontId="18" fillId="2" borderId="1" xfId="0" applyNumberFormat="1" applyFont="1" applyFill="1" applyBorder="1" applyAlignment="1">
      <alignment horizontal="center" wrapText="1"/>
    </xf>
    <xf numFmtId="3" fontId="4" fillId="0" borderId="1" xfId="0" applyNumberFormat="1" applyFont="1" applyBorder="1" applyAlignment="1">
      <alignment horizontal="center"/>
    </xf>
    <xf numFmtId="0" fontId="18" fillId="0" borderId="1" xfId="0" applyFont="1" applyBorder="1" applyAlignment="1">
      <alignment horizontal="center" wrapText="1"/>
    </xf>
    <xf numFmtId="3" fontId="18" fillId="0" borderId="1" xfId="0" applyNumberFormat="1" applyFont="1" applyBorder="1" applyAlignment="1">
      <alignment horizontal="center" wrapText="1"/>
    </xf>
    <xf numFmtId="0" fontId="18" fillId="2" borderId="5" xfId="0" applyFont="1" applyFill="1" applyBorder="1" applyAlignment="1">
      <alignment horizontal="center" wrapText="1"/>
    </xf>
    <xf numFmtId="0" fontId="18" fillId="2" borderId="9" xfId="0" applyFont="1" applyFill="1" applyBorder="1" applyAlignment="1">
      <alignment horizontal="center" wrapText="1"/>
    </xf>
    <xf numFmtId="3" fontId="18" fillId="2" borderId="10" xfId="0" applyNumberFormat="1" applyFont="1" applyFill="1" applyBorder="1" applyAlignment="1">
      <alignment horizontal="center" wrapText="1"/>
    </xf>
    <xf numFmtId="3" fontId="18" fillId="2" borderId="11" xfId="0" applyNumberFormat="1" applyFont="1" applyFill="1" applyBorder="1" applyAlignment="1">
      <alignment horizontal="center" wrapText="1"/>
    </xf>
    <xf numFmtId="1" fontId="18" fillId="2" borderId="1" xfId="0" applyNumberFormat="1" applyFont="1" applyFill="1" applyBorder="1" applyAlignment="1">
      <alignment horizontal="center" wrapText="1"/>
    </xf>
    <xf numFmtId="10" fontId="4" fillId="0" borderId="1" xfId="0" applyNumberFormat="1" applyFont="1" applyBorder="1" applyAlignment="1">
      <alignment horizontal="center"/>
    </xf>
    <xf numFmtId="1" fontId="18" fillId="0" borderId="1" xfId="0" applyNumberFormat="1" applyFont="1" applyBorder="1" applyAlignment="1">
      <alignment horizontal="center" wrapText="1"/>
    </xf>
    <xf numFmtId="0" fontId="2" fillId="0" borderId="0" xfId="0" applyFont="1" applyBorder="1" applyAlignment="1">
      <alignment horizontal="left"/>
    </xf>
    <xf numFmtId="3" fontId="0" fillId="0" borderId="1" xfId="0" applyNumberFormat="1" applyBorder="1" applyAlignment="1">
      <alignment horizontal="center" wrapText="1"/>
    </xf>
    <xf numFmtId="3" fontId="0" fillId="0" borderId="1" xfId="0" applyNumberFormat="1" applyBorder="1" applyAlignment="1">
      <alignment horizontal="center"/>
    </xf>
    <xf numFmtId="10" fontId="2" fillId="0" borderId="0" xfId="3" applyNumberFormat="1" applyFont="1" applyFill="1" applyBorder="1" applyAlignment="1">
      <alignment horizontal="left"/>
    </xf>
    <xf numFmtId="0" fontId="17" fillId="0" borderId="0" xfId="0" applyFont="1" applyFill="1" applyAlignment="1">
      <alignment horizontal="right"/>
    </xf>
    <xf numFmtId="0" fontId="15" fillId="0" borderId="0" xfId="0" applyFont="1" applyFill="1" applyAlignment="1">
      <alignment horizontal="right"/>
    </xf>
    <xf numFmtId="0" fontId="20" fillId="0" borderId="12" xfId="0" applyFont="1" applyBorder="1" applyAlignment="1">
      <alignment horizontal="center" vertical="center" wrapText="1"/>
    </xf>
    <xf numFmtId="0" fontId="0" fillId="0" borderId="12" xfId="0" applyBorder="1" applyAlignment="1">
      <alignment horizontal="left" vertical="center" wrapText="1"/>
    </xf>
    <xf numFmtId="10" fontId="0" fillId="0" borderId="12" xfId="0" applyNumberFormat="1" applyBorder="1" applyAlignment="1">
      <alignment horizontal="center" wrapText="1"/>
    </xf>
    <xf numFmtId="10" fontId="0" fillId="0" borderId="12" xfId="0" applyNumberFormat="1" applyBorder="1" applyAlignment="1">
      <alignment horizontal="center" vertical="top" wrapText="1"/>
    </xf>
    <xf numFmtId="0" fontId="11" fillId="0" borderId="0" xfId="2" applyAlignment="1" applyProtection="1"/>
    <xf numFmtId="0" fontId="13" fillId="0" borderId="0" xfId="0" applyFont="1" applyFill="1" applyBorder="1" applyAlignment="1" applyProtection="1">
      <alignment horizontal="left"/>
    </xf>
    <xf numFmtId="1" fontId="0" fillId="0" borderId="12" xfId="0" applyNumberFormat="1" applyBorder="1" applyAlignment="1">
      <alignment horizontal="center" wrapText="1"/>
    </xf>
    <xf numFmtId="1" fontId="0" fillId="0" borderId="12" xfId="0" applyNumberFormat="1" applyBorder="1" applyAlignment="1">
      <alignment horizontal="center" vertical="top" wrapText="1"/>
    </xf>
    <xf numFmtId="0" fontId="21" fillId="0" borderId="0" xfId="0" applyFont="1" applyAlignment="1">
      <alignment horizontal="center"/>
    </xf>
    <xf numFmtId="0" fontId="11" fillId="0" borderId="0" xfId="2" applyFill="1" applyAlignment="1" applyProtection="1">
      <alignment horizontal="left"/>
    </xf>
    <xf numFmtId="10" fontId="13" fillId="0" borderId="0" xfId="0" applyNumberFormat="1" applyFont="1" applyFill="1" applyBorder="1" applyAlignment="1" applyProtection="1">
      <alignment horizontal="center"/>
    </xf>
    <xf numFmtId="0" fontId="0" fillId="0" borderId="0" xfId="0" applyFill="1" applyAlignment="1" applyProtection="1">
      <alignment horizontal="center"/>
      <protection hidden="1"/>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left"/>
    </xf>
    <xf numFmtId="0" fontId="22" fillId="0" borderId="13" xfId="0" applyFont="1" applyFill="1" applyBorder="1" applyAlignment="1">
      <alignment horizontal="center"/>
    </xf>
    <xf numFmtId="0" fontId="0" fillId="0" borderId="13" xfId="0" applyBorder="1" applyAlignment="1"/>
    <xf numFmtId="0" fontId="13" fillId="0" borderId="0" xfId="0" applyNumberFormat="1" applyFont="1" applyFill="1" applyAlignment="1" applyProtection="1">
      <alignment horizontal="center"/>
    </xf>
    <xf numFmtId="0" fontId="22" fillId="0" borderId="0" xfId="0" applyFont="1" applyFill="1"/>
    <xf numFmtId="0" fontId="22" fillId="0" borderId="0" xfId="0" applyFont="1" applyFill="1" applyProtection="1"/>
    <xf numFmtId="0" fontId="2"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25" fillId="0" borderId="0" xfId="0" applyFont="1" applyFill="1" applyProtection="1"/>
    <xf numFmtId="2" fontId="0" fillId="2" borderId="1" xfId="0" applyNumberFormat="1" applyFill="1" applyBorder="1" applyAlignment="1" applyProtection="1">
      <alignment horizontal="center"/>
    </xf>
    <xf numFmtId="2" fontId="2" fillId="3" borderId="0" xfId="0" applyNumberFormat="1" applyFont="1" applyFill="1" applyAlignment="1" applyProtection="1">
      <alignment horizontal="center"/>
      <protection locked="0"/>
    </xf>
    <xf numFmtId="0" fontId="11" fillId="0" borderId="0" xfId="2" applyFill="1" applyAlignment="1" applyProtection="1"/>
    <xf numFmtId="0" fontId="13" fillId="2" borderId="0" xfId="0" applyFont="1" applyFill="1" applyBorder="1" applyAlignment="1" applyProtection="1">
      <alignment horizontal="left"/>
      <protection locked="0"/>
    </xf>
    <xf numFmtId="0" fontId="0" fillId="0" borderId="0" xfId="0" applyAlignment="1"/>
    <xf numFmtId="0" fontId="11" fillId="0" borderId="0" xfId="2" applyFill="1" applyAlignment="1" applyProtection="1">
      <alignment horizontal="center"/>
    </xf>
    <xf numFmtId="0" fontId="11" fillId="0" borderId="0" xfId="2" applyAlignment="1" applyProtection="1"/>
    <xf numFmtId="0" fontId="11" fillId="0" borderId="0" xfId="2" applyFill="1" applyAlignment="1" applyProtection="1"/>
    <xf numFmtId="0" fontId="12" fillId="0" borderId="0" xfId="0" applyFont="1" applyFill="1" applyAlignment="1" applyProtection="1">
      <alignment horizontal="center"/>
    </xf>
    <xf numFmtId="0" fontId="13" fillId="0" borderId="0" xfId="0" applyFont="1" applyAlignment="1">
      <alignment horizontal="center"/>
    </xf>
    <xf numFmtId="0" fontId="4" fillId="0" borderId="6" xfId="0" applyFont="1" applyBorder="1" applyAlignment="1">
      <alignment horizontal="center" wrapText="1"/>
    </xf>
    <xf numFmtId="0" fontId="4" fillId="0" borderId="0" xfId="0" applyFont="1" applyBorder="1" applyAlignment="1">
      <alignment horizontal="center"/>
    </xf>
    <xf numFmtId="0" fontId="4" fillId="0" borderId="9" xfId="0" applyFont="1" applyBorder="1" applyAlignment="1">
      <alignment horizontal="center" wrapText="1"/>
    </xf>
    <xf numFmtId="0" fontId="4" fillId="0" borderId="10" xfId="0" applyFont="1" applyBorder="1" applyAlignment="1">
      <alignment horizontal="center"/>
    </xf>
    <xf numFmtId="0" fontId="4" fillId="0" borderId="11" xfId="0" applyFont="1" applyBorder="1" applyAlignment="1">
      <alignment horizontal="center"/>
    </xf>
    <xf numFmtId="9" fontId="4" fillId="0" borderId="1" xfId="3" applyFont="1" applyFill="1" applyBorder="1" applyAlignment="1">
      <alignment horizontal="center" wrapText="1"/>
    </xf>
    <xf numFmtId="9" fontId="4" fillId="0" borderId="1" xfId="3" applyFont="1" applyFill="1" applyBorder="1"/>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iaff16.org/" TargetMode="External"/><Relationship Id="rId7" Type="http://schemas.openxmlformats.org/officeDocument/2006/relationships/printerSettings" Target="../printerSettings/printerSettings1.bin"/><Relationship Id="rId2" Type="http://schemas.openxmlformats.org/officeDocument/2006/relationships/hyperlink" Target="http://www.dodfire.com/" TargetMode="External"/><Relationship Id="rId1" Type="http://schemas.openxmlformats.org/officeDocument/2006/relationships/hyperlink" Target="mailto:anthony.fanchi@robins.af.mil" TargetMode="External"/><Relationship Id="rId6" Type="http://schemas.openxmlformats.org/officeDocument/2006/relationships/hyperlink" Target="http://www.opm.gov/oca/cola/rates.asp" TargetMode="External"/><Relationship Id="rId5" Type="http://schemas.openxmlformats.org/officeDocument/2006/relationships/hyperlink" Target="http://www.opm.gov/oca/compmemo/2008/2008-22-Attach2.pdf" TargetMode="External"/><Relationship Id="rId10" Type="http://schemas.openxmlformats.org/officeDocument/2006/relationships/comments" Target="../comments1.xml"/><Relationship Id="rId4" Type="http://schemas.openxmlformats.org/officeDocument/2006/relationships/hyperlink" Target="mailto:contact@wikkmo.com" TargetMode="External"/><Relationship Id="rId9"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3"/>
  <sheetViews>
    <sheetView showGridLines="0" tabSelected="1" zoomScaleNormal="100" workbookViewId="0">
      <selection activeCell="E2" sqref="E2:G2"/>
    </sheetView>
  </sheetViews>
  <sheetFormatPr defaultRowHeight="12.75" x14ac:dyDescent="0.2"/>
  <cols>
    <col min="1" max="3" width="9.140625" style="53"/>
    <col min="4" max="4" width="10.28515625" style="53" customWidth="1"/>
    <col min="5" max="5" width="9.140625" style="53"/>
    <col min="6" max="6" width="6" style="53" customWidth="1"/>
    <col min="7" max="7" width="11.7109375" style="53" customWidth="1"/>
    <col min="8" max="8" width="20.42578125" style="53" customWidth="1"/>
    <col min="9" max="9" width="6.85546875" style="53" customWidth="1"/>
    <col min="10" max="16384" width="9.140625" style="53"/>
  </cols>
  <sheetData>
    <row r="1" spans="1:11" ht="36.75" customHeight="1" x14ac:dyDescent="0.4">
      <c r="A1" s="129" t="s">
        <v>191</v>
      </c>
      <c r="B1" s="130"/>
      <c r="C1" s="130"/>
      <c r="D1" s="130"/>
      <c r="E1" s="130"/>
      <c r="F1" s="130"/>
      <c r="G1" s="130"/>
      <c r="H1" s="130"/>
      <c r="I1" s="130"/>
      <c r="J1" s="130"/>
      <c r="K1" s="130"/>
    </row>
    <row r="2" spans="1:11" x14ac:dyDescent="0.2">
      <c r="E2" s="126" t="s">
        <v>102</v>
      </c>
      <c r="F2" s="127"/>
      <c r="G2" s="127"/>
    </row>
    <row r="4" spans="1:11" s="54" customFormat="1" x14ac:dyDescent="0.2">
      <c r="A4" s="54" t="s">
        <v>206</v>
      </c>
    </row>
    <row r="5" spans="1:11" x14ac:dyDescent="0.2">
      <c r="A5" s="53" t="s">
        <v>207</v>
      </c>
    </row>
    <row r="6" spans="1:11" x14ac:dyDescent="0.2">
      <c r="A6" s="53" t="s">
        <v>172</v>
      </c>
    </row>
    <row r="7" spans="1:11" x14ac:dyDescent="0.2">
      <c r="A7" s="53" t="s">
        <v>173</v>
      </c>
    </row>
    <row r="8" spans="1:11" x14ac:dyDescent="0.2">
      <c r="A8" s="53" t="s">
        <v>174</v>
      </c>
    </row>
    <row r="10" spans="1:11" x14ac:dyDescent="0.2">
      <c r="A10" s="53" t="s">
        <v>202</v>
      </c>
    </row>
    <row r="11" spans="1:11" x14ac:dyDescent="0.2">
      <c r="A11" s="53" t="s">
        <v>209</v>
      </c>
    </row>
    <row r="13" spans="1:11" x14ac:dyDescent="0.2">
      <c r="A13" s="54" t="s">
        <v>217</v>
      </c>
      <c r="G13" s="55">
        <f>'Start Page'!$C$85</f>
        <v>2009</v>
      </c>
      <c r="H13" s="53" t="s">
        <v>158</v>
      </c>
      <c r="J13" s="58" t="str">
        <f>C46</f>
        <v>Rest of U.S.</v>
      </c>
      <c r="K13" s="76"/>
    </row>
    <row r="14" spans="1:11" x14ac:dyDescent="0.2">
      <c r="A14" s="53" t="s">
        <v>208</v>
      </c>
      <c r="I14" s="58"/>
    </row>
    <row r="15" spans="1:11" x14ac:dyDescent="0.2">
      <c r="A15" s="53" t="s">
        <v>72</v>
      </c>
      <c r="F15" s="56">
        <f>C26</f>
        <v>72</v>
      </c>
      <c r="G15" s="53" t="s">
        <v>43</v>
      </c>
    </row>
    <row r="16" spans="1:11" x14ac:dyDescent="0.2">
      <c r="A16" s="56">
        <f>C28</f>
        <v>60</v>
      </c>
      <c r="B16" s="53" t="s">
        <v>60</v>
      </c>
      <c r="J16" s="58">
        <f>C54</f>
        <v>26</v>
      </c>
    </row>
    <row r="17" spans="1:9" x14ac:dyDescent="0.2">
      <c r="A17" s="53" t="s">
        <v>59</v>
      </c>
    </row>
    <row r="19" spans="1:9" x14ac:dyDescent="0.2">
      <c r="A19" s="54" t="s">
        <v>171</v>
      </c>
    </row>
    <row r="21" spans="1:9" x14ac:dyDescent="0.2">
      <c r="A21" s="54" t="s">
        <v>50</v>
      </c>
    </row>
    <row r="22" spans="1:9" x14ac:dyDescent="0.2">
      <c r="A22" s="53" t="s">
        <v>89</v>
      </c>
    </row>
    <row r="23" spans="1:9" x14ac:dyDescent="0.2">
      <c r="A23" s="53" t="s">
        <v>51</v>
      </c>
    </row>
    <row r="24" spans="1:9" x14ac:dyDescent="0.2">
      <c r="A24" s="53" t="s">
        <v>137</v>
      </c>
    </row>
    <row r="25" spans="1:9" x14ac:dyDescent="0.2">
      <c r="H25" s="57"/>
    </row>
    <row r="26" spans="1:9" x14ac:dyDescent="0.2">
      <c r="A26" s="53" t="s">
        <v>44</v>
      </c>
      <c r="C26" s="68">
        <v>72</v>
      </c>
      <c r="F26" s="58"/>
      <c r="I26" s="59"/>
    </row>
    <row r="28" spans="1:9" x14ac:dyDescent="0.2">
      <c r="A28" s="53" t="s">
        <v>45</v>
      </c>
      <c r="C28" s="68">
        <v>60</v>
      </c>
      <c r="F28" s="58"/>
      <c r="I28" s="59"/>
    </row>
    <row r="29" spans="1:9" x14ac:dyDescent="0.2">
      <c r="C29" s="115"/>
      <c r="F29" s="58"/>
      <c r="I29" s="59"/>
    </row>
    <row r="30" spans="1:9" x14ac:dyDescent="0.2">
      <c r="A30" s="54" t="s">
        <v>70</v>
      </c>
    </row>
    <row r="31" spans="1:9" s="60" customFormat="1" x14ac:dyDescent="0.2">
      <c r="A31" s="54"/>
    </row>
    <row r="32" spans="1:9" s="60" customFormat="1" x14ac:dyDescent="0.2">
      <c r="A32" s="54" t="s">
        <v>197</v>
      </c>
    </row>
    <row r="33" spans="1:11" s="60" customFormat="1" x14ac:dyDescent="0.2">
      <c r="A33" s="60" t="s">
        <v>195</v>
      </c>
    </row>
    <row r="34" spans="1:11" s="60" customFormat="1" x14ac:dyDescent="0.2">
      <c r="A34" s="60" t="s">
        <v>196</v>
      </c>
    </row>
    <row r="35" spans="1:11" s="60" customFormat="1" x14ac:dyDescent="0.2"/>
    <row r="36" spans="1:11" s="60" customFormat="1" x14ac:dyDescent="0.2">
      <c r="A36" s="54" t="s">
        <v>71</v>
      </c>
    </row>
    <row r="37" spans="1:11" s="60" customFormat="1" x14ac:dyDescent="0.2"/>
    <row r="38" spans="1:11" x14ac:dyDescent="0.2">
      <c r="A38" s="54" t="s">
        <v>198</v>
      </c>
    </row>
    <row r="39" spans="1:11" x14ac:dyDescent="0.2">
      <c r="A39" s="53" t="s">
        <v>154</v>
      </c>
    </row>
    <row r="40" spans="1:11" x14ac:dyDescent="0.2">
      <c r="A40" s="53" t="s">
        <v>201</v>
      </c>
    </row>
    <row r="42" spans="1:11" x14ac:dyDescent="0.2">
      <c r="A42" s="54" t="s">
        <v>199</v>
      </c>
    </row>
    <row r="43" spans="1:11" x14ac:dyDescent="0.2">
      <c r="A43" s="53" t="s">
        <v>200</v>
      </c>
      <c r="C43" s="62"/>
    </row>
    <row r="44" spans="1:11" x14ac:dyDescent="0.2">
      <c r="A44" s="53" t="s">
        <v>210</v>
      </c>
      <c r="C44" s="62"/>
      <c r="I44" s="128" t="s">
        <v>212</v>
      </c>
      <c r="J44" s="125"/>
      <c r="K44" s="123" t="s">
        <v>211</v>
      </c>
    </row>
    <row r="45" spans="1:11" x14ac:dyDescent="0.2">
      <c r="C45" s="62"/>
    </row>
    <row r="46" spans="1:11" x14ac:dyDescent="0.2">
      <c r="A46" s="53" t="s">
        <v>156</v>
      </c>
      <c r="C46" s="124" t="s">
        <v>134</v>
      </c>
      <c r="D46" s="125"/>
      <c r="E46" s="125"/>
      <c r="F46" s="125"/>
      <c r="G46" s="125"/>
      <c r="H46" s="54" t="s">
        <v>148</v>
      </c>
    </row>
    <row r="47" spans="1:11" x14ac:dyDescent="0.2">
      <c r="C47" s="104"/>
      <c r="D47" s="54"/>
      <c r="E47" s="54"/>
    </row>
    <row r="48" spans="1:11" x14ac:dyDescent="0.2">
      <c r="A48" s="53" t="s">
        <v>155</v>
      </c>
      <c r="C48" s="109">
        <f>IF(G48="",VLOOKUP(C46,'Locality Rates'!A2:B49,2,FALSE),G48/100)</f>
        <v>0.1386</v>
      </c>
      <c r="D48" s="58"/>
      <c r="G48" s="122"/>
      <c r="H48" s="54" t="s">
        <v>204</v>
      </c>
    </row>
    <row r="49" spans="1:6" x14ac:dyDescent="0.2">
      <c r="C49" s="109"/>
      <c r="D49" s="58"/>
    </row>
    <row r="50" spans="1:6" x14ac:dyDescent="0.2">
      <c r="A50" s="54" t="s">
        <v>35</v>
      </c>
    </row>
    <row r="51" spans="1:6" x14ac:dyDescent="0.2">
      <c r="A51" s="53" t="s">
        <v>36</v>
      </c>
    </row>
    <row r="52" spans="1:6" x14ac:dyDescent="0.2">
      <c r="A52" s="53" t="s">
        <v>37</v>
      </c>
    </row>
    <row r="54" spans="1:6" x14ac:dyDescent="0.2">
      <c r="A54" s="53" t="s">
        <v>38</v>
      </c>
      <c r="C54" s="70">
        <v>26</v>
      </c>
      <c r="E54" s="59"/>
      <c r="F54" s="58"/>
    </row>
    <row r="55" spans="1:6" x14ac:dyDescent="0.2">
      <c r="D55" s="54"/>
    </row>
    <row r="56" spans="1:6" x14ac:dyDescent="0.2">
      <c r="A56" s="54" t="s">
        <v>205</v>
      </c>
    </row>
    <row r="57" spans="1:6" x14ac:dyDescent="0.2">
      <c r="A57" s="60" t="s">
        <v>176</v>
      </c>
    </row>
    <row r="58" spans="1:6" x14ac:dyDescent="0.2">
      <c r="A58" s="53" t="s">
        <v>177</v>
      </c>
    </row>
    <row r="59" spans="1:6" x14ac:dyDescent="0.2">
      <c r="A59" s="53" t="s">
        <v>178</v>
      </c>
    </row>
    <row r="60" spans="1:6" x14ac:dyDescent="0.2">
      <c r="A60" s="53" t="s">
        <v>179</v>
      </c>
    </row>
    <row r="62" spans="1:6" s="117" customFormat="1" x14ac:dyDescent="0.2">
      <c r="A62" s="117" t="s">
        <v>187</v>
      </c>
    </row>
    <row r="63" spans="1:6" x14ac:dyDescent="0.2">
      <c r="A63" s="117" t="s">
        <v>192</v>
      </c>
    </row>
    <row r="64" spans="1:6" x14ac:dyDescent="0.2">
      <c r="A64" s="117" t="s">
        <v>193</v>
      </c>
    </row>
    <row r="65" spans="1:11" x14ac:dyDescent="0.2">
      <c r="A65" s="117" t="s">
        <v>194</v>
      </c>
    </row>
    <row r="66" spans="1:11" x14ac:dyDescent="0.2">
      <c r="A66" s="117" t="s">
        <v>188</v>
      </c>
      <c r="H66" s="108" t="s">
        <v>159</v>
      </c>
      <c r="I66" s="120" t="s">
        <v>160</v>
      </c>
      <c r="J66" s="128" t="s">
        <v>161</v>
      </c>
      <c r="K66" s="128"/>
    </row>
    <row r="67" spans="1:11" x14ac:dyDescent="0.2">
      <c r="A67" s="117"/>
    </row>
    <row r="68" spans="1:11" x14ac:dyDescent="0.2">
      <c r="A68" s="54" t="s">
        <v>180</v>
      </c>
    </row>
    <row r="69" spans="1:11" x14ac:dyDescent="0.2">
      <c r="A69" s="63" t="s">
        <v>181</v>
      </c>
    </row>
    <row r="70" spans="1:11" x14ac:dyDescent="0.2">
      <c r="A70" s="63" t="s">
        <v>182</v>
      </c>
    </row>
    <row r="71" spans="1:11" x14ac:dyDescent="0.2">
      <c r="A71" s="63" t="s">
        <v>183</v>
      </c>
    </row>
    <row r="73" spans="1:11" x14ac:dyDescent="0.2">
      <c r="A73" s="118" t="s">
        <v>184</v>
      </c>
    </row>
    <row r="74" spans="1:11" x14ac:dyDescent="0.2">
      <c r="A74" s="119" t="s">
        <v>185</v>
      </c>
    </row>
    <row r="75" spans="1:11" x14ac:dyDescent="0.2">
      <c r="A75" s="119" t="s">
        <v>186</v>
      </c>
    </row>
    <row r="77" spans="1:11" x14ac:dyDescent="0.2">
      <c r="A77" s="53" t="s">
        <v>162</v>
      </c>
    </row>
    <row r="78" spans="1:11" x14ac:dyDescent="0.2">
      <c r="A78" s="53" t="s">
        <v>203</v>
      </c>
    </row>
    <row r="79" spans="1:11" x14ac:dyDescent="0.2">
      <c r="A79" s="63"/>
    </row>
    <row r="80" spans="1:11" x14ac:dyDescent="0.2">
      <c r="A80" s="64" t="s">
        <v>34</v>
      </c>
      <c r="B80" s="64" t="s">
        <v>53</v>
      </c>
      <c r="C80" s="64" t="s">
        <v>34</v>
      </c>
      <c r="D80" s="64" t="s">
        <v>53</v>
      </c>
      <c r="G80" s="110"/>
      <c r="H80" s="56" t="s">
        <v>189</v>
      </c>
      <c r="I80" s="64" t="s">
        <v>34</v>
      </c>
      <c r="J80" s="64" t="s">
        <v>53</v>
      </c>
    </row>
    <row r="81" spans="1:10" x14ac:dyDescent="0.2">
      <c r="A81" s="65">
        <f>'GS Pay Calculator'!B2+1</f>
        <v>2010</v>
      </c>
      <c r="B81" s="69">
        <v>0</v>
      </c>
      <c r="C81" s="65">
        <f>A81+1</f>
        <v>2011</v>
      </c>
      <c r="D81" s="69">
        <v>0</v>
      </c>
      <c r="F81" s="61" t="str">
        <f>IF(B81&lt;0,"Error!  Check your number.",IF(D81&lt;0,"Error!  Check your number.",""))</f>
        <v/>
      </c>
      <c r="I81" s="65">
        <v>1994</v>
      </c>
      <c r="J81" s="121" t="s">
        <v>190</v>
      </c>
    </row>
    <row r="82" spans="1:10" x14ac:dyDescent="0.2">
      <c r="A82" s="65">
        <f>A81+2</f>
        <v>2012</v>
      </c>
      <c r="B82" s="69">
        <v>0</v>
      </c>
      <c r="C82" s="65">
        <f>C81+2</f>
        <v>2013</v>
      </c>
      <c r="D82" s="69">
        <v>0</v>
      </c>
      <c r="F82" s="61" t="str">
        <f>IF(B82&lt;0,"Error!  Check your number.",IF(D82&lt;0,"Error!  Check your number.",""))</f>
        <v/>
      </c>
      <c r="I82" s="65">
        <v>1999</v>
      </c>
      <c r="J82" s="121">
        <v>3.1</v>
      </c>
    </row>
    <row r="83" spans="1:10" x14ac:dyDescent="0.2">
      <c r="A83" s="65">
        <f>A82+2</f>
        <v>2014</v>
      </c>
      <c r="B83" s="69">
        <v>0</v>
      </c>
      <c r="C83" s="65">
        <f>C82+2</f>
        <v>2015</v>
      </c>
      <c r="D83" s="69">
        <v>0</v>
      </c>
      <c r="F83" s="61" t="str">
        <f>IF(B83&lt;0,"Error!  Check your number.",IF(D83&lt;0,"Error!  Check your number.",""))</f>
        <v/>
      </c>
      <c r="I83" s="65">
        <v>2000</v>
      </c>
      <c r="J83" s="121">
        <v>3.8</v>
      </c>
    </row>
    <row r="84" spans="1:10" x14ac:dyDescent="0.2">
      <c r="A84" s="65">
        <f>A83+2</f>
        <v>2016</v>
      </c>
      <c r="B84" s="69">
        <v>0</v>
      </c>
      <c r="C84" s="65">
        <f>C83+2</f>
        <v>2017</v>
      </c>
      <c r="D84" s="69">
        <v>0</v>
      </c>
      <c r="F84" s="61" t="str">
        <f>IF(B84&lt;0,"Error!  Check your number.",IF(D84&lt;0,"Error!  Check your number.",""))</f>
        <v/>
      </c>
    </row>
    <row r="85" spans="1:10" hidden="1" x14ac:dyDescent="0.2">
      <c r="A85" s="112" t="s">
        <v>163</v>
      </c>
      <c r="B85" s="111"/>
      <c r="C85" s="67">
        <f>IF(B81=0,'GS Pay Calculator'!B2,IF(D81=0,A81,IF(B82=0,C81,IF(D82=0,A82,IF(B83=0,C82,IF(D83=0,A83,IF(B84=0,C83,IF(D84=0,A84,C84))))))))</f>
        <v>2009</v>
      </c>
      <c r="D85" s="111"/>
      <c r="F85" s="61"/>
    </row>
    <row r="86" spans="1:10" x14ac:dyDescent="0.2">
      <c r="B86" s="66"/>
      <c r="C86" s="67"/>
      <c r="D86" s="66"/>
    </row>
    <row r="87" spans="1:10" x14ac:dyDescent="0.2">
      <c r="A87" s="54" t="s">
        <v>66</v>
      </c>
      <c r="C87" s="62"/>
      <c r="E87" s="59"/>
      <c r="F87" s="58"/>
    </row>
    <row r="88" spans="1:10" x14ac:dyDescent="0.2">
      <c r="A88" s="53" t="s">
        <v>90</v>
      </c>
      <c r="C88" s="62"/>
      <c r="E88" s="59"/>
      <c r="F88" s="58"/>
    </row>
    <row r="89" spans="1:10" x14ac:dyDescent="0.2">
      <c r="A89" s="53" t="s">
        <v>91</v>
      </c>
      <c r="C89" s="62"/>
      <c r="E89" s="59"/>
      <c r="F89" s="58"/>
    </row>
    <row r="90" spans="1:10" x14ac:dyDescent="0.2">
      <c r="A90" s="53" t="s">
        <v>92</v>
      </c>
      <c r="C90" s="62"/>
      <c r="E90" s="59"/>
      <c r="F90" s="58"/>
    </row>
    <row r="91" spans="1:10" x14ac:dyDescent="0.2">
      <c r="C91" s="62"/>
      <c r="E91" s="59"/>
    </row>
    <row r="92" spans="1:10" x14ac:dyDescent="0.2">
      <c r="A92" s="54" t="s">
        <v>54</v>
      </c>
      <c r="C92" s="62"/>
      <c r="E92" s="59"/>
    </row>
    <row r="93" spans="1:10" x14ac:dyDescent="0.2">
      <c r="A93" s="60" t="s">
        <v>55</v>
      </c>
      <c r="C93" s="62"/>
      <c r="E93" s="59"/>
    </row>
    <row r="94" spans="1:10" x14ac:dyDescent="0.2">
      <c r="A94" s="60" t="s">
        <v>56</v>
      </c>
      <c r="C94" s="62"/>
      <c r="E94" s="59"/>
    </row>
    <row r="95" spans="1:10" x14ac:dyDescent="0.2">
      <c r="A95" s="60" t="s">
        <v>57</v>
      </c>
      <c r="C95" s="62"/>
      <c r="E95" s="59"/>
    </row>
    <row r="96" spans="1:10" x14ac:dyDescent="0.2">
      <c r="A96" s="60" t="s">
        <v>58</v>
      </c>
      <c r="C96" s="62"/>
      <c r="E96" s="59"/>
    </row>
    <row r="97" spans="1:5" x14ac:dyDescent="0.2">
      <c r="A97" s="60"/>
      <c r="C97" s="62"/>
      <c r="E97" s="59"/>
    </row>
    <row r="98" spans="1:5" x14ac:dyDescent="0.2">
      <c r="A98" s="54" t="s">
        <v>94</v>
      </c>
      <c r="C98" s="62"/>
      <c r="E98" s="59"/>
    </row>
    <row r="99" spans="1:5" x14ac:dyDescent="0.2">
      <c r="A99" s="53" t="s">
        <v>65</v>
      </c>
      <c r="C99" s="62"/>
      <c r="E99" s="59"/>
    </row>
    <row r="100" spans="1:5" x14ac:dyDescent="0.2">
      <c r="A100" s="53" t="s">
        <v>99</v>
      </c>
      <c r="C100" s="62"/>
      <c r="E100" s="59"/>
    </row>
    <row r="101" spans="1:5" x14ac:dyDescent="0.2">
      <c r="A101" s="53" t="s">
        <v>100</v>
      </c>
      <c r="C101" s="62"/>
      <c r="E101" s="59"/>
    </row>
    <row r="102" spans="1:5" x14ac:dyDescent="0.2">
      <c r="A102" s="53" t="s">
        <v>101</v>
      </c>
      <c r="C102" s="62"/>
      <c r="E102" s="59"/>
    </row>
    <row r="103" spans="1:5" x14ac:dyDescent="0.2">
      <c r="A103" s="60"/>
    </row>
  </sheetData>
  <sheetProtection algorithmName="SHA-512" hashValue="rDb6XY/E1WTwjEIe+wzPK0/wpwNXWNg/Ys1uA7NcYFdm10drOiBlSGm/txNqTSA/SvtMR6z576wOV5pbSYQAtQ==" saltValue="qdPeINxdo7aKM4DNNk0PEw==" spinCount="100000" sheet="1" objects="1" scenarios="1"/>
  <mergeCells count="5">
    <mergeCell ref="C46:G46"/>
    <mergeCell ref="E2:G2"/>
    <mergeCell ref="J66:K66"/>
    <mergeCell ref="A1:K1"/>
    <mergeCell ref="I44:J44"/>
  </mergeCells>
  <phoneticPr fontId="0" type="noConversion"/>
  <dataValidations count="5">
    <dataValidation type="list" allowBlank="1" showInputMessage="1" showErrorMessage="1" error="Select 26 or 27" sqref="C54" xr:uid="{00000000-0002-0000-0000-000000000000}">
      <formula1>Payperiods</formula1>
    </dataValidation>
    <dataValidation type="list" allowBlank="1" showInputMessage="1" showErrorMessage="1" error="You must select one of the Locality/COLA areas provided.  Clear the cell and click on the arrow to see your choices." sqref="C46:G46" xr:uid="{00000000-0002-0000-0000-000001000000}">
      <formula1>Locality</formula1>
    </dataValidation>
    <dataValidation type="decimal" allowBlank="1" showInputMessage="1" showErrorMessage="1" error="Make sure you enter the locality rate as a number between 0 and 50, and don't enter a % sign." sqref="G48" xr:uid="{00000000-0002-0000-0000-000002000000}">
      <formula1>0</formula1>
      <formula2>50</formula2>
    </dataValidation>
    <dataValidation type="list" allowBlank="1" showInputMessage="1" showErrorMessage="1" error="Select 72, 60, or 56" sqref="C26" xr:uid="{00000000-0002-0000-0000-000003000000}">
      <formula1>Shift</formula1>
    </dataValidation>
    <dataValidation type="list" allowBlank="1" showInputMessage="1" showErrorMessage="1" error="Select 60 or 56" sqref="C28" xr:uid="{00000000-0002-0000-0000-000004000000}">
      <formula1>Inspectors</formula1>
    </dataValidation>
  </dataValidations>
  <hyperlinks>
    <hyperlink ref="E2" r:id="rId1" xr:uid="{00000000-0004-0000-0000-000000000000}"/>
    <hyperlink ref="H66" r:id="rId2" xr:uid="{00000000-0004-0000-0000-000001000000}"/>
    <hyperlink ref="J66:K66" r:id="rId3" display="http://www.iaff16.org" xr:uid="{00000000-0004-0000-0000-000002000000}"/>
    <hyperlink ref="E2:G2" r:id="rId4" display="Developed by Anthony J. Fanchi" xr:uid="{00000000-0004-0000-0000-000003000000}"/>
    <hyperlink ref="I44" r:id="rId5" xr:uid="{00000000-0004-0000-0000-000004000000}"/>
    <hyperlink ref="K44" r:id="rId6" xr:uid="{00000000-0004-0000-0000-000005000000}"/>
  </hyperlinks>
  <printOptions horizontalCentered="1"/>
  <pageMargins left="0.75" right="0.75" top="1" bottom="1" header="0.5" footer="0.5"/>
  <pageSetup scale="70" orientation="portrait" horizontalDpi="300" verticalDpi="300" r:id="rId7"/>
  <headerFooter alignWithMargins="0"/>
  <legacyDrawing r:id="rId8"/>
  <pictur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
  <sheetViews>
    <sheetView showGridLines="0" workbookViewId="0">
      <selection activeCell="B2" sqref="B2"/>
    </sheetView>
  </sheetViews>
  <sheetFormatPr defaultRowHeight="12.75" x14ac:dyDescent="0.2"/>
  <cols>
    <col min="1" max="1" width="9.28515625" style="52" customWidth="1"/>
    <col min="2" max="11" width="9.140625" style="52"/>
  </cols>
  <sheetData>
    <row r="1" spans="1:11" s="1" customFormat="1" ht="12.75" customHeight="1" x14ac:dyDescent="0.2">
      <c r="A1" s="77" t="s">
        <v>27</v>
      </c>
      <c r="B1" s="131"/>
      <c r="C1" s="132"/>
      <c r="D1" s="132"/>
      <c r="E1" s="132"/>
      <c r="F1" s="132"/>
      <c r="G1" s="132"/>
      <c r="H1" s="132"/>
      <c r="I1" s="132"/>
      <c r="J1" s="132"/>
      <c r="K1" s="132"/>
    </row>
    <row r="2" spans="1:11" s="1" customFormat="1" x14ac:dyDescent="0.2">
      <c r="A2" s="3" t="s">
        <v>29</v>
      </c>
      <c r="B2" s="79">
        <v>2009</v>
      </c>
      <c r="C2" s="79" t="s">
        <v>74</v>
      </c>
      <c r="D2" s="79">
        <f>B2+1</f>
        <v>2010</v>
      </c>
      <c r="E2" s="79" t="s">
        <v>74</v>
      </c>
      <c r="F2" s="79">
        <f>D2+1</f>
        <v>2011</v>
      </c>
      <c r="G2" s="79" t="s">
        <v>74</v>
      </c>
      <c r="H2" s="79">
        <f>F2+1</f>
        <v>2012</v>
      </c>
      <c r="I2" s="80" t="s">
        <v>74</v>
      </c>
      <c r="J2" s="79">
        <f>H2+1</f>
        <v>2013</v>
      </c>
      <c r="K2" s="79" t="s">
        <v>74</v>
      </c>
    </row>
    <row r="3" spans="1:11" s="1" customFormat="1" x14ac:dyDescent="0.2">
      <c r="A3" s="81" t="s">
        <v>75</v>
      </c>
      <c r="B3" s="94">
        <v>21517</v>
      </c>
      <c r="C3" s="95">
        <v>717</v>
      </c>
      <c r="D3" s="83">
        <f t="shared" ref="D3:D13" si="0">ROUND(B3+(B3*$K$16),0)</f>
        <v>21517</v>
      </c>
      <c r="E3" s="83">
        <f t="shared" ref="E3:E13" si="1">ROUND(C3+(C3*$K$16),0)</f>
        <v>717</v>
      </c>
      <c r="F3" s="83">
        <f t="shared" ref="F3:F13" si="2">ROUND(D3+(D3*$K$17),0)</f>
        <v>21517</v>
      </c>
      <c r="G3" s="83">
        <f t="shared" ref="G3:G13" si="3">ROUND(E3+(E3*$K$17),0)</f>
        <v>717</v>
      </c>
      <c r="H3" s="83">
        <f t="shared" ref="H3:H13" si="4">ROUND(F3+(F3*$K$18),0)</f>
        <v>21517</v>
      </c>
      <c r="I3" s="83">
        <f t="shared" ref="I3:I13" si="5">ROUND(G3+(G3*$K$18),0)</f>
        <v>717</v>
      </c>
      <c r="J3" s="83">
        <f t="shared" ref="J3:J13" si="6">ROUND(H3+(H3*$K$19),0)</f>
        <v>21517</v>
      </c>
      <c r="K3" s="83">
        <f t="shared" ref="K3:K13" si="7">ROUND(I3+(I3*$K$19),0)</f>
        <v>717</v>
      </c>
    </row>
    <row r="4" spans="1:11" s="1" customFormat="1" x14ac:dyDescent="0.2">
      <c r="A4" s="84" t="s">
        <v>76</v>
      </c>
      <c r="B4" s="94">
        <v>24156</v>
      </c>
      <c r="C4" s="95">
        <v>805</v>
      </c>
      <c r="D4" s="83">
        <f t="shared" si="0"/>
        <v>24156</v>
      </c>
      <c r="E4" s="83">
        <f t="shared" si="1"/>
        <v>805</v>
      </c>
      <c r="F4" s="83">
        <f t="shared" si="2"/>
        <v>24156</v>
      </c>
      <c r="G4" s="83">
        <f t="shared" si="3"/>
        <v>805</v>
      </c>
      <c r="H4" s="83">
        <f t="shared" si="4"/>
        <v>24156</v>
      </c>
      <c r="I4" s="83">
        <f t="shared" si="5"/>
        <v>805</v>
      </c>
      <c r="J4" s="83">
        <f t="shared" si="6"/>
        <v>24156</v>
      </c>
      <c r="K4" s="83">
        <f t="shared" si="7"/>
        <v>805</v>
      </c>
    </row>
    <row r="5" spans="1:11" s="1" customFormat="1" x14ac:dyDescent="0.2">
      <c r="A5" s="81" t="s">
        <v>77</v>
      </c>
      <c r="B5" s="94">
        <v>27026</v>
      </c>
      <c r="C5" s="95">
        <v>901</v>
      </c>
      <c r="D5" s="83">
        <f t="shared" si="0"/>
        <v>27026</v>
      </c>
      <c r="E5" s="83">
        <f t="shared" si="1"/>
        <v>901</v>
      </c>
      <c r="F5" s="83">
        <f t="shared" si="2"/>
        <v>27026</v>
      </c>
      <c r="G5" s="83">
        <f t="shared" si="3"/>
        <v>901</v>
      </c>
      <c r="H5" s="83">
        <f t="shared" si="4"/>
        <v>27026</v>
      </c>
      <c r="I5" s="83">
        <f t="shared" si="5"/>
        <v>901</v>
      </c>
      <c r="J5" s="83">
        <f t="shared" si="6"/>
        <v>27026</v>
      </c>
      <c r="K5" s="83">
        <f t="shared" si="7"/>
        <v>901</v>
      </c>
    </row>
    <row r="6" spans="1:11" s="1" customFormat="1" x14ac:dyDescent="0.2">
      <c r="A6" s="84" t="s">
        <v>78</v>
      </c>
      <c r="B6" s="94">
        <v>30125</v>
      </c>
      <c r="C6" s="95">
        <v>1004</v>
      </c>
      <c r="D6" s="83">
        <f t="shared" si="0"/>
        <v>30125</v>
      </c>
      <c r="E6" s="83">
        <f t="shared" si="1"/>
        <v>1004</v>
      </c>
      <c r="F6" s="83">
        <f t="shared" si="2"/>
        <v>30125</v>
      </c>
      <c r="G6" s="83">
        <f t="shared" si="3"/>
        <v>1004</v>
      </c>
      <c r="H6" s="83">
        <f t="shared" si="4"/>
        <v>30125</v>
      </c>
      <c r="I6" s="83">
        <f t="shared" si="5"/>
        <v>1004</v>
      </c>
      <c r="J6" s="83">
        <f t="shared" si="6"/>
        <v>30125</v>
      </c>
      <c r="K6" s="83">
        <f t="shared" si="7"/>
        <v>1004</v>
      </c>
    </row>
    <row r="7" spans="1:11" s="1" customFormat="1" x14ac:dyDescent="0.2">
      <c r="A7" s="81" t="s">
        <v>79</v>
      </c>
      <c r="B7" s="94">
        <v>33477</v>
      </c>
      <c r="C7" s="95">
        <v>1116</v>
      </c>
      <c r="D7" s="83">
        <f t="shared" si="0"/>
        <v>33477</v>
      </c>
      <c r="E7" s="83">
        <f t="shared" si="1"/>
        <v>1116</v>
      </c>
      <c r="F7" s="83">
        <f t="shared" si="2"/>
        <v>33477</v>
      </c>
      <c r="G7" s="83">
        <f t="shared" si="3"/>
        <v>1116</v>
      </c>
      <c r="H7" s="83">
        <f t="shared" si="4"/>
        <v>33477</v>
      </c>
      <c r="I7" s="83">
        <f t="shared" si="5"/>
        <v>1116</v>
      </c>
      <c r="J7" s="83">
        <f t="shared" si="6"/>
        <v>33477</v>
      </c>
      <c r="K7" s="83">
        <f t="shared" si="7"/>
        <v>1116</v>
      </c>
    </row>
    <row r="8" spans="1:11" s="1" customFormat="1" x14ac:dyDescent="0.2">
      <c r="A8" s="84" t="s">
        <v>80</v>
      </c>
      <c r="B8" s="94">
        <v>37075</v>
      </c>
      <c r="C8" s="95">
        <v>1236</v>
      </c>
      <c r="D8" s="83">
        <f t="shared" si="0"/>
        <v>37075</v>
      </c>
      <c r="E8" s="83">
        <f t="shared" si="1"/>
        <v>1236</v>
      </c>
      <c r="F8" s="83">
        <f t="shared" si="2"/>
        <v>37075</v>
      </c>
      <c r="G8" s="83">
        <f t="shared" si="3"/>
        <v>1236</v>
      </c>
      <c r="H8" s="83">
        <f t="shared" si="4"/>
        <v>37075</v>
      </c>
      <c r="I8" s="83">
        <f t="shared" si="5"/>
        <v>1236</v>
      </c>
      <c r="J8" s="83">
        <f t="shared" si="6"/>
        <v>37075</v>
      </c>
      <c r="K8" s="83">
        <f t="shared" si="7"/>
        <v>1236</v>
      </c>
    </row>
    <row r="9" spans="1:11" s="1" customFormat="1" x14ac:dyDescent="0.2">
      <c r="A9" s="81" t="s">
        <v>81</v>
      </c>
      <c r="B9" s="94">
        <v>40949</v>
      </c>
      <c r="C9" s="95">
        <v>1365</v>
      </c>
      <c r="D9" s="83">
        <f t="shared" si="0"/>
        <v>40949</v>
      </c>
      <c r="E9" s="83">
        <f t="shared" si="1"/>
        <v>1365</v>
      </c>
      <c r="F9" s="83">
        <f t="shared" si="2"/>
        <v>40949</v>
      </c>
      <c r="G9" s="83">
        <f t="shared" si="3"/>
        <v>1365</v>
      </c>
      <c r="H9" s="83">
        <f t="shared" si="4"/>
        <v>40949</v>
      </c>
      <c r="I9" s="83">
        <f t="shared" si="5"/>
        <v>1365</v>
      </c>
      <c r="J9" s="83">
        <f t="shared" si="6"/>
        <v>40949</v>
      </c>
      <c r="K9" s="83">
        <f t="shared" si="7"/>
        <v>1365</v>
      </c>
    </row>
    <row r="10" spans="1:11" s="1" customFormat="1" x14ac:dyDescent="0.2">
      <c r="A10" s="84" t="s">
        <v>82</v>
      </c>
      <c r="B10" s="94">
        <v>45095</v>
      </c>
      <c r="C10" s="95">
        <v>1503</v>
      </c>
      <c r="D10" s="83">
        <f t="shared" si="0"/>
        <v>45095</v>
      </c>
      <c r="E10" s="83">
        <f t="shared" si="1"/>
        <v>1503</v>
      </c>
      <c r="F10" s="83">
        <f t="shared" si="2"/>
        <v>45095</v>
      </c>
      <c r="G10" s="83">
        <f t="shared" si="3"/>
        <v>1503</v>
      </c>
      <c r="H10" s="83">
        <f t="shared" si="4"/>
        <v>45095</v>
      </c>
      <c r="I10" s="83">
        <f t="shared" si="5"/>
        <v>1503</v>
      </c>
      <c r="J10" s="83">
        <f t="shared" si="6"/>
        <v>45095</v>
      </c>
      <c r="K10" s="83">
        <f t="shared" si="7"/>
        <v>1503</v>
      </c>
    </row>
    <row r="11" spans="1:11" s="1" customFormat="1" x14ac:dyDescent="0.2">
      <c r="A11" s="81" t="s">
        <v>83</v>
      </c>
      <c r="B11" s="94">
        <v>49544</v>
      </c>
      <c r="C11" s="95">
        <v>1651</v>
      </c>
      <c r="D11" s="83">
        <f t="shared" si="0"/>
        <v>49544</v>
      </c>
      <c r="E11" s="83">
        <f t="shared" si="1"/>
        <v>1651</v>
      </c>
      <c r="F11" s="83">
        <f t="shared" si="2"/>
        <v>49544</v>
      </c>
      <c r="G11" s="83">
        <f t="shared" si="3"/>
        <v>1651</v>
      </c>
      <c r="H11" s="83">
        <f t="shared" si="4"/>
        <v>49544</v>
      </c>
      <c r="I11" s="83">
        <f t="shared" si="5"/>
        <v>1651</v>
      </c>
      <c r="J11" s="83">
        <f t="shared" si="6"/>
        <v>49544</v>
      </c>
      <c r="K11" s="83">
        <f t="shared" si="7"/>
        <v>1651</v>
      </c>
    </row>
    <row r="12" spans="1:11" s="1" customFormat="1" x14ac:dyDescent="0.2">
      <c r="A12" s="84" t="s">
        <v>84</v>
      </c>
      <c r="B12" s="94">
        <v>59383</v>
      </c>
      <c r="C12" s="95">
        <v>1979</v>
      </c>
      <c r="D12" s="83">
        <f t="shared" si="0"/>
        <v>59383</v>
      </c>
      <c r="E12" s="83">
        <f t="shared" si="1"/>
        <v>1979</v>
      </c>
      <c r="F12" s="83">
        <f t="shared" si="2"/>
        <v>59383</v>
      </c>
      <c r="G12" s="83">
        <f t="shared" si="3"/>
        <v>1979</v>
      </c>
      <c r="H12" s="83">
        <f t="shared" si="4"/>
        <v>59383</v>
      </c>
      <c r="I12" s="83">
        <f t="shared" si="5"/>
        <v>1979</v>
      </c>
      <c r="J12" s="83">
        <f t="shared" si="6"/>
        <v>59383</v>
      </c>
      <c r="K12" s="83">
        <f t="shared" si="7"/>
        <v>1979</v>
      </c>
    </row>
    <row r="13" spans="1:11" s="1" customFormat="1" x14ac:dyDescent="0.2">
      <c r="A13" s="86" t="s">
        <v>85</v>
      </c>
      <c r="B13" s="94">
        <v>70615</v>
      </c>
      <c r="C13" s="95">
        <v>2354</v>
      </c>
      <c r="D13" s="83">
        <f t="shared" si="0"/>
        <v>70615</v>
      </c>
      <c r="E13" s="83">
        <f t="shared" si="1"/>
        <v>2354</v>
      </c>
      <c r="F13" s="83">
        <f t="shared" si="2"/>
        <v>70615</v>
      </c>
      <c r="G13" s="83">
        <f t="shared" si="3"/>
        <v>2354</v>
      </c>
      <c r="H13" s="83">
        <f t="shared" si="4"/>
        <v>70615</v>
      </c>
      <c r="I13" s="83">
        <f t="shared" si="5"/>
        <v>2354</v>
      </c>
      <c r="J13" s="83">
        <f t="shared" si="6"/>
        <v>70615</v>
      </c>
      <c r="K13" s="83">
        <f t="shared" si="7"/>
        <v>2354</v>
      </c>
    </row>
    <row r="14" spans="1:11" s="1" customFormat="1" x14ac:dyDescent="0.2">
      <c r="A14" s="87"/>
      <c r="B14" s="88"/>
      <c r="C14" s="88"/>
      <c r="D14" s="88"/>
      <c r="E14" s="88"/>
      <c r="F14" s="88"/>
      <c r="G14" s="88"/>
      <c r="H14" s="88"/>
      <c r="I14" s="88"/>
      <c r="J14" s="88"/>
      <c r="K14" s="89"/>
    </row>
    <row r="15" spans="1:11" x14ac:dyDescent="0.2">
      <c r="A15" s="3" t="s">
        <v>29</v>
      </c>
      <c r="B15" s="3">
        <f>J2+1</f>
        <v>2014</v>
      </c>
      <c r="C15" s="3" t="s">
        <v>74</v>
      </c>
      <c r="D15" s="79">
        <f>B15+1</f>
        <v>2015</v>
      </c>
      <c r="E15" s="3" t="s">
        <v>74</v>
      </c>
      <c r="F15" s="79">
        <f>D15+1</f>
        <v>2016</v>
      </c>
      <c r="G15" s="3" t="s">
        <v>74</v>
      </c>
      <c r="H15" s="79">
        <f>F15+1</f>
        <v>2017</v>
      </c>
      <c r="I15" s="3" t="s">
        <v>74</v>
      </c>
      <c r="J15" s="3" t="s">
        <v>86</v>
      </c>
      <c r="K15" s="3" t="s">
        <v>87</v>
      </c>
    </row>
    <row r="16" spans="1:11" x14ac:dyDescent="0.2">
      <c r="A16" s="81" t="s">
        <v>75</v>
      </c>
      <c r="B16" s="83">
        <f t="shared" ref="B16:B26" si="8">ROUND(J3+(J3*$K$20),0)</f>
        <v>21517</v>
      </c>
      <c r="C16" s="83">
        <f t="shared" ref="C16:C26" si="9">ROUND(K3+(K3*$K$20),0)</f>
        <v>717</v>
      </c>
      <c r="D16" s="83">
        <f t="shared" ref="D16:D26" si="10">ROUND(B16+(B16*$K$21),0)</f>
        <v>21517</v>
      </c>
      <c r="E16" s="83">
        <f t="shared" ref="E16:E26" si="11">ROUND(C16+(C16*$K$21),0)</f>
        <v>717</v>
      </c>
      <c r="F16" s="83">
        <f t="shared" ref="F16:F26" si="12">ROUND(D16+(D16*$K$22),0)</f>
        <v>21517</v>
      </c>
      <c r="G16" s="83">
        <f t="shared" ref="G16:G26" si="13">ROUND(E16+(E16*$K$22),0)</f>
        <v>717</v>
      </c>
      <c r="H16" s="83">
        <f t="shared" ref="H16:H26" si="14">ROUND(F16+(F16*$K$23),0)</f>
        <v>21517</v>
      </c>
      <c r="I16" s="83">
        <f t="shared" ref="I16:I26" si="15">ROUND(G16+(G16*$K$23),0)</f>
        <v>717</v>
      </c>
      <c r="J16" s="90">
        <f>B2+1</f>
        <v>2010</v>
      </c>
      <c r="K16" s="91">
        <f>IF('Start Page'!B81="N/A",0,'Start Page'!B81/100)</f>
        <v>0</v>
      </c>
    </row>
    <row r="17" spans="1:11" x14ac:dyDescent="0.2">
      <c r="A17" s="84" t="s">
        <v>76</v>
      </c>
      <c r="B17" s="83">
        <f t="shared" si="8"/>
        <v>24156</v>
      </c>
      <c r="C17" s="83">
        <f t="shared" si="9"/>
        <v>805</v>
      </c>
      <c r="D17" s="83">
        <f t="shared" si="10"/>
        <v>24156</v>
      </c>
      <c r="E17" s="83">
        <f t="shared" si="11"/>
        <v>805</v>
      </c>
      <c r="F17" s="83">
        <f t="shared" si="12"/>
        <v>24156</v>
      </c>
      <c r="G17" s="83">
        <f t="shared" si="13"/>
        <v>805</v>
      </c>
      <c r="H17" s="83">
        <f t="shared" si="14"/>
        <v>24156</v>
      </c>
      <c r="I17" s="83">
        <f t="shared" si="15"/>
        <v>805</v>
      </c>
      <c r="J17" s="92">
        <f>J16+1</f>
        <v>2011</v>
      </c>
      <c r="K17" s="91">
        <f>IF('Start Page'!D81="N/A",0,'Start Page'!D81/100)</f>
        <v>0</v>
      </c>
    </row>
    <row r="18" spans="1:11" x14ac:dyDescent="0.2">
      <c r="A18" s="81" t="s">
        <v>77</v>
      </c>
      <c r="B18" s="83">
        <f t="shared" si="8"/>
        <v>27026</v>
      </c>
      <c r="C18" s="83">
        <f t="shared" si="9"/>
        <v>901</v>
      </c>
      <c r="D18" s="83">
        <f t="shared" si="10"/>
        <v>27026</v>
      </c>
      <c r="E18" s="83">
        <f t="shared" si="11"/>
        <v>901</v>
      </c>
      <c r="F18" s="83">
        <f t="shared" si="12"/>
        <v>27026</v>
      </c>
      <c r="G18" s="83">
        <f t="shared" si="13"/>
        <v>901</v>
      </c>
      <c r="H18" s="83">
        <f t="shared" si="14"/>
        <v>27026</v>
      </c>
      <c r="I18" s="83">
        <f t="shared" si="15"/>
        <v>901</v>
      </c>
      <c r="J18" s="92">
        <f t="shared" ref="J18:J23" si="16">J17+1</f>
        <v>2012</v>
      </c>
      <c r="K18" s="91">
        <f>IF('Start Page'!B82="N/A",0,'Start Page'!B82/100)</f>
        <v>0</v>
      </c>
    </row>
    <row r="19" spans="1:11" x14ac:dyDescent="0.2">
      <c r="A19" s="84" t="s">
        <v>78</v>
      </c>
      <c r="B19" s="83">
        <f t="shared" si="8"/>
        <v>30125</v>
      </c>
      <c r="C19" s="83">
        <f t="shared" si="9"/>
        <v>1004</v>
      </c>
      <c r="D19" s="83">
        <f t="shared" si="10"/>
        <v>30125</v>
      </c>
      <c r="E19" s="83">
        <f t="shared" si="11"/>
        <v>1004</v>
      </c>
      <c r="F19" s="83">
        <f t="shared" si="12"/>
        <v>30125</v>
      </c>
      <c r="G19" s="83">
        <f t="shared" si="13"/>
        <v>1004</v>
      </c>
      <c r="H19" s="83">
        <f t="shared" si="14"/>
        <v>30125</v>
      </c>
      <c r="I19" s="83">
        <f t="shared" si="15"/>
        <v>1004</v>
      </c>
      <c r="J19" s="92">
        <f t="shared" si="16"/>
        <v>2013</v>
      </c>
      <c r="K19" s="91">
        <f>IF('Start Page'!D82="N/A",0,'Start Page'!D82/100)</f>
        <v>0</v>
      </c>
    </row>
    <row r="20" spans="1:11" x14ac:dyDescent="0.2">
      <c r="A20" s="81" t="s">
        <v>79</v>
      </c>
      <c r="B20" s="83">
        <f t="shared" si="8"/>
        <v>33477</v>
      </c>
      <c r="C20" s="83">
        <f t="shared" si="9"/>
        <v>1116</v>
      </c>
      <c r="D20" s="83">
        <f t="shared" si="10"/>
        <v>33477</v>
      </c>
      <c r="E20" s="83">
        <f t="shared" si="11"/>
        <v>1116</v>
      </c>
      <c r="F20" s="83">
        <f t="shared" si="12"/>
        <v>33477</v>
      </c>
      <c r="G20" s="83">
        <f t="shared" si="13"/>
        <v>1116</v>
      </c>
      <c r="H20" s="83">
        <f t="shared" si="14"/>
        <v>33477</v>
      </c>
      <c r="I20" s="83">
        <f t="shared" si="15"/>
        <v>1116</v>
      </c>
      <c r="J20" s="92">
        <f t="shared" si="16"/>
        <v>2014</v>
      </c>
      <c r="K20" s="91">
        <f>IF('Start Page'!B83="N/A",0,'Start Page'!B83/100)</f>
        <v>0</v>
      </c>
    </row>
    <row r="21" spans="1:11" x14ac:dyDescent="0.2">
      <c r="A21" s="84" t="s">
        <v>80</v>
      </c>
      <c r="B21" s="83">
        <f t="shared" si="8"/>
        <v>37075</v>
      </c>
      <c r="C21" s="83">
        <f t="shared" si="9"/>
        <v>1236</v>
      </c>
      <c r="D21" s="83">
        <f t="shared" si="10"/>
        <v>37075</v>
      </c>
      <c r="E21" s="83">
        <f t="shared" si="11"/>
        <v>1236</v>
      </c>
      <c r="F21" s="83">
        <f t="shared" si="12"/>
        <v>37075</v>
      </c>
      <c r="G21" s="83">
        <f t="shared" si="13"/>
        <v>1236</v>
      </c>
      <c r="H21" s="83">
        <f t="shared" si="14"/>
        <v>37075</v>
      </c>
      <c r="I21" s="83">
        <f t="shared" si="15"/>
        <v>1236</v>
      </c>
      <c r="J21" s="92">
        <f t="shared" si="16"/>
        <v>2015</v>
      </c>
      <c r="K21" s="91">
        <f>IF('Start Page'!D83="N/A",0,'Start Page'!D83/100)</f>
        <v>0</v>
      </c>
    </row>
    <row r="22" spans="1:11" x14ac:dyDescent="0.2">
      <c r="A22" s="81" t="s">
        <v>81</v>
      </c>
      <c r="B22" s="83">
        <f t="shared" si="8"/>
        <v>40949</v>
      </c>
      <c r="C22" s="83">
        <f t="shared" si="9"/>
        <v>1365</v>
      </c>
      <c r="D22" s="83">
        <f t="shared" si="10"/>
        <v>40949</v>
      </c>
      <c r="E22" s="83">
        <f t="shared" si="11"/>
        <v>1365</v>
      </c>
      <c r="F22" s="83">
        <f t="shared" si="12"/>
        <v>40949</v>
      </c>
      <c r="G22" s="83">
        <f t="shared" si="13"/>
        <v>1365</v>
      </c>
      <c r="H22" s="83">
        <f t="shared" si="14"/>
        <v>40949</v>
      </c>
      <c r="I22" s="83">
        <f t="shared" si="15"/>
        <v>1365</v>
      </c>
      <c r="J22" s="92">
        <f t="shared" si="16"/>
        <v>2016</v>
      </c>
      <c r="K22" s="91">
        <f>IF('Start Page'!B84="N/A",0,'Start Page'!B84/100)</f>
        <v>0</v>
      </c>
    </row>
    <row r="23" spans="1:11" x14ac:dyDescent="0.2">
      <c r="A23" s="84" t="s">
        <v>82</v>
      </c>
      <c r="B23" s="83">
        <f t="shared" si="8"/>
        <v>45095</v>
      </c>
      <c r="C23" s="83">
        <f t="shared" si="9"/>
        <v>1503</v>
      </c>
      <c r="D23" s="83">
        <f t="shared" si="10"/>
        <v>45095</v>
      </c>
      <c r="E23" s="83">
        <f t="shared" si="11"/>
        <v>1503</v>
      </c>
      <c r="F23" s="83">
        <f t="shared" si="12"/>
        <v>45095</v>
      </c>
      <c r="G23" s="83">
        <f t="shared" si="13"/>
        <v>1503</v>
      </c>
      <c r="H23" s="83">
        <f t="shared" si="14"/>
        <v>45095</v>
      </c>
      <c r="I23" s="83">
        <f t="shared" si="15"/>
        <v>1503</v>
      </c>
      <c r="J23" s="92">
        <f t="shared" si="16"/>
        <v>2017</v>
      </c>
      <c r="K23" s="91">
        <f>IF('Start Page'!D84="N/A",0,'Start Page'!D84/100)</f>
        <v>0</v>
      </c>
    </row>
    <row r="24" spans="1:11" x14ac:dyDescent="0.2">
      <c r="A24" s="81" t="s">
        <v>83</v>
      </c>
      <c r="B24" s="83">
        <f t="shared" si="8"/>
        <v>49544</v>
      </c>
      <c r="C24" s="83">
        <f t="shared" si="9"/>
        <v>1651</v>
      </c>
      <c r="D24" s="83">
        <f t="shared" si="10"/>
        <v>49544</v>
      </c>
      <c r="E24" s="83">
        <f t="shared" si="11"/>
        <v>1651</v>
      </c>
      <c r="F24" s="83">
        <f t="shared" si="12"/>
        <v>49544</v>
      </c>
      <c r="G24" s="83">
        <f t="shared" si="13"/>
        <v>1651</v>
      </c>
      <c r="H24" s="83">
        <f t="shared" si="14"/>
        <v>49544</v>
      </c>
      <c r="I24" s="83">
        <f t="shared" si="15"/>
        <v>1651</v>
      </c>
      <c r="J24" s="82"/>
      <c r="K24" s="82"/>
    </row>
    <row r="25" spans="1:11" x14ac:dyDescent="0.2">
      <c r="A25" s="84" t="s">
        <v>84</v>
      </c>
      <c r="B25" s="83">
        <f t="shared" si="8"/>
        <v>59383</v>
      </c>
      <c r="C25" s="83">
        <f t="shared" si="9"/>
        <v>1979</v>
      </c>
      <c r="D25" s="83">
        <f t="shared" si="10"/>
        <v>59383</v>
      </c>
      <c r="E25" s="83">
        <f t="shared" si="11"/>
        <v>1979</v>
      </c>
      <c r="F25" s="83">
        <f t="shared" si="12"/>
        <v>59383</v>
      </c>
      <c r="G25" s="83">
        <f t="shared" si="13"/>
        <v>1979</v>
      </c>
      <c r="H25" s="83">
        <f t="shared" si="14"/>
        <v>59383</v>
      </c>
      <c r="I25" s="83">
        <f t="shared" si="15"/>
        <v>1979</v>
      </c>
      <c r="J25" s="85"/>
      <c r="K25" s="85"/>
    </row>
    <row r="26" spans="1:11" x14ac:dyDescent="0.2">
      <c r="A26" s="81" t="s">
        <v>85</v>
      </c>
      <c r="B26" s="83">
        <f t="shared" si="8"/>
        <v>70615</v>
      </c>
      <c r="C26" s="83">
        <f t="shared" si="9"/>
        <v>2354</v>
      </c>
      <c r="D26" s="83">
        <f t="shared" si="10"/>
        <v>70615</v>
      </c>
      <c r="E26" s="83">
        <f t="shared" si="11"/>
        <v>2354</v>
      </c>
      <c r="F26" s="83">
        <f t="shared" si="12"/>
        <v>70615</v>
      </c>
      <c r="G26" s="83">
        <f t="shared" si="13"/>
        <v>2354</v>
      </c>
      <c r="H26" s="83">
        <f t="shared" si="14"/>
        <v>70615</v>
      </c>
      <c r="I26" s="83">
        <f t="shared" si="15"/>
        <v>2354</v>
      </c>
      <c r="J26" s="82"/>
      <c r="K26" s="82"/>
    </row>
    <row r="28" spans="1:11" x14ac:dyDescent="0.2">
      <c r="A28" s="107" t="s">
        <v>46</v>
      </c>
    </row>
    <row r="29" spans="1:11" x14ac:dyDescent="0.2">
      <c r="A29" s="52">
        <v>72</v>
      </c>
    </row>
    <row r="30" spans="1:11" x14ac:dyDescent="0.2">
      <c r="A30" s="52">
        <v>60</v>
      </c>
    </row>
    <row r="31" spans="1:11" x14ac:dyDescent="0.2">
      <c r="A31" s="52">
        <v>56</v>
      </c>
    </row>
    <row r="32" spans="1:11" x14ac:dyDescent="0.2">
      <c r="A32" s="107" t="s">
        <v>157</v>
      </c>
    </row>
    <row r="33" spans="1:1" x14ac:dyDescent="0.2">
      <c r="A33" s="52">
        <v>26</v>
      </c>
    </row>
    <row r="34" spans="1:1" x14ac:dyDescent="0.2">
      <c r="A34" s="52">
        <v>27</v>
      </c>
    </row>
  </sheetData>
  <sheetProtection password="CCE4"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
  <sheetViews>
    <sheetView workbookViewId="0">
      <selection activeCell="A2" sqref="A2"/>
    </sheetView>
  </sheetViews>
  <sheetFormatPr defaultRowHeight="12.75" x14ac:dyDescent="0.2"/>
  <cols>
    <col min="1" max="11" width="9.140625" style="52"/>
  </cols>
  <sheetData>
    <row r="1" spans="1:11" s="1" customFormat="1" x14ac:dyDescent="0.2">
      <c r="A1" s="78"/>
      <c r="B1" s="78"/>
      <c r="C1" s="78"/>
      <c r="D1" s="78"/>
      <c r="E1" s="93" t="s">
        <v>88</v>
      </c>
      <c r="F1" s="78"/>
      <c r="G1" s="78"/>
      <c r="H1" s="6"/>
      <c r="I1" s="78"/>
      <c r="J1" s="78"/>
      <c r="K1" s="78"/>
    </row>
    <row r="2" spans="1:11" s="1" customFormat="1" ht="12.75" customHeight="1" x14ac:dyDescent="0.2">
      <c r="A2" s="2" t="s">
        <v>27</v>
      </c>
      <c r="B2" s="133" t="s">
        <v>28</v>
      </c>
      <c r="C2" s="134"/>
      <c r="D2" s="134"/>
      <c r="E2" s="134"/>
      <c r="F2" s="134"/>
      <c r="G2" s="134"/>
      <c r="H2" s="134"/>
      <c r="I2" s="134"/>
      <c r="J2" s="134"/>
      <c r="K2" s="135"/>
    </row>
    <row r="3" spans="1:11" s="1" customFormat="1" x14ac:dyDescent="0.2">
      <c r="A3" s="3" t="s">
        <v>29</v>
      </c>
      <c r="B3" s="4">
        <v>1</v>
      </c>
      <c r="C3" s="4">
        <v>2</v>
      </c>
      <c r="D3" s="4">
        <v>3</v>
      </c>
      <c r="E3" s="4">
        <v>4</v>
      </c>
      <c r="F3" s="4">
        <v>5</v>
      </c>
      <c r="G3" s="4">
        <v>6</v>
      </c>
      <c r="H3" s="4">
        <v>7</v>
      </c>
      <c r="I3" s="4">
        <v>8</v>
      </c>
      <c r="J3" s="4">
        <v>9</v>
      </c>
      <c r="K3" s="4">
        <v>10</v>
      </c>
    </row>
    <row r="4" spans="1:11" s="1" customFormat="1" x14ac:dyDescent="0.2">
      <c r="A4" s="5">
        <v>3</v>
      </c>
      <c r="B4" s="83">
        <f>'GS Pay Calculator'!H16</f>
        <v>21517</v>
      </c>
      <c r="C4" s="83">
        <f>B4+'GS Pay Calculator'!$I16</f>
        <v>22234</v>
      </c>
      <c r="D4" s="83">
        <f>C4+'GS Pay Calculator'!$I16</f>
        <v>22951</v>
      </c>
      <c r="E4" s="83">
        <f>D4+'GS Pay Calculator'!$I16</f>
        <v>23668</v>
      </c>
      <c r="F4" s="83">
        <f>E4+'GS Pay Calculator'!$I16</f>
        <v>24385</v>
      </c>
      <c r="G4" s="83">
        <f>F4+'GS Pay Calculator'!$I16</f>
        <v>25102</v>
      </c>
      <c r="H4" s="83">
        <f>G4+'GS Pay Calculator'!$I16</f>
        <v>25819</v>
      </c>
      <c r="I4" s="83">
        <f>H4+'GS Pay Calculator'!$I16</f>
        <v>26536</v>
      </c>
      <c r="J4" s="83">
        <f>I4+'GS Pay Calculator'!$I16</f>
        <v>27253</v>
      </c>
      <c r="K4" s="83">
        <f>J4+'GS Pay Calculator'!$I16</f>
        <v>27970</v>
      </c>
    </row>
    <row r="5" spans="1:11" s="1" customFormat="1" x14ac:dyDescent="0.2">
      <c r="A5" s="5">
        <v>4</v>
      </c>
      <c r="B5" s="83">
        <f>'GS Pay Calculator'!H17</f>
        <v>24156</v>
      </c>
      <c r="C5" s="83">
        <f>B5+'GS Pay Calculator'!$I17</f>
        <v>24961</v>
      </c>
      <c r="D5" s="83">
        <f>C5+'GS Pay Calculator'!$I17</f>
        <v>25766</v>
      </c>
      <c r="E5" s="83">
        <f>D5+'GS Pay Calculator'!$I17</f>
        <v>26571</v>
      </c>
      <c r="F5" s="83">
        <f>E5+'GS Pay Calculator'!$I17</f>
        <v>27376</v>
      </c>
      <c r="G5" s="83">
        <f>F5+'GS Pay Calculator'!$I17</f>
        <v>28181</v>
      </c>
      <c r="H5" s="83">
        <f>G5+'GS Pay Calculator'!$I17</f>
        <v>28986</v>
      </c>
      <c r="I5" s="83">
        <f>H5+'GS Pay Calculator'!$I17</f>
        <v>29791</v>
      </c>
      <c r="J5" s="83">
        <f>I5+'GS Pay Calculator'!$I17</f>
        <v>30596</v>
      </c>
      <c r="K5" s="83">
        <f>J5+'GS Pay Calculator'!$I17</f>
        <v>31401</v>
      </c>
    </row>
    <row r="6" spans="1:11" s="1" customFormat="1" x14ac:dyDescent="0.2">
      <c r="A6" s="5">
        <v>5</v>
      </c>
      <c r="B6" s="83">
        <f>'GS Pay Calculator'!H18</f>
        <v>27026</v>
      </c>
      <c r="C6" s="83">
        <f>B6+'GS Pay Calculator'!$I18</f>
        <v>27927</v>
      </c>
      <c r="D6" s="83">
        <f>C6+'GS Pay Calculator'!$I18</f>
        <v>28828</v>
      </c>
      <c r="E6" s="83">
        <f>D6+'GS Pay Calculator'!$I18</f>
        <v>29729</v>
      </c>
      <c r="F6" s="83">
        <f>E6+'GS Pay Calculator'!$I18</f>
        <v>30630</v>
      </c>
      <c r="G6" s="83">
        <f>F6+'GS Pay Calculator'!$I18</f>
        <v>31531</v>
      </c>
      <c r="H6" s="83">
        <f>G6+'GS Pay Calculator'!$I18</f>
        <v>32432</v>
      </c>
      <c r="I6" s="83">
        <f>H6+'GS Pay Calculator'!$I18</f>
        <v>33333</v>
      </c>
      <c r="J6" s="83">
        <f>I6+'GS Pay Calculator'!$I18</f>
        <v>34234</v>
      </c>
      <c r="K6" s="83">
        <f>J6+'GS Pay Calculator'!$I18</f>
        <v>35135</v>
      </c>
    </row>
    <row r="7" spans="1:11" s="1" customFormat="1" x14ac:dyDescent="0.2">
      <c r="A7" s="5">
        <v>6</v>
      </c>
      <c r="B7" s="83">
        <f>'GS Pay Calculator'!H19</f>
        <v>30125</v>
      </c>
      <c r="C7" s="83">
        <f>B7+'GS Pay Calculator'!$I19</f>
        <v>31129</v>
      </c>
      <c r="D7" s="83">
        <f>C7+'GS Pay Calculator'!$I19</f>
        <v>32133</v>
      </c>
      <c r="E7" s="83">
        <f>D7+'GS Pay Calculator'!$I19</f>
        <v>33137</v>
      </c>
      <c r="F7" s="83">
        <f>E7+'GS Pay Calculator'!$I19</f>
        <v>34141</v>
      </c>
      <c r="G7" s="83">
        <f>F7+'GS Pay Calculator'!$I19</f>
        <v>35145</v>
      </c>
      <c r="H7" s="83">
        <f>G7+'GS Pay Calculator'!$I19</f>
        <v>36149</v>
      </c>
      <c r="I7" s="83">
        <f>H7+'GS Pay Calculator'!$I19</f>
        <v>37153</v>
      </c>
      <c r="J7" s="83">
        <f>I7+'GS Pay Calculator'!$I19</f>
        <v>38157</v>
      </c>
      <c r="K7" s="83">
        <f>J7+'GS Pay Calculator'!$I19</f>
        <v>39161</v>
      </c>
    </row>
    <row r="8" spans="1:11" s="1" customFormat="1" x14ac:dyDescent="0.2">
      <c r="A8" s="5">
        <v>7</v>
      </c>
      <c r="B8" s="83">
        <f>'GS Pay Calculator'!H20</f>
        <v>33477</v>
      </c>
      <c r="C8" s="83">
        <f>B8+'GS Pay Calculator'!$I20</f>
        <v>34593</v>
      </c>
      <c r="D8" s="83">
        <f>C8+'GS Pay Calculator'!$I20</f>
        <v>35709</v>
      </c>
      <c r="E8" s="83">
        <f>D8+'GS Pay Calculator'!$I20</f>
        <v>36825</v>
      </c>
      <c r="F8" s="83">
        <f>E8+'GS Pay Calculator'!$I20</f>
        <v>37941</v>
      </c>
      <c r="G8" s="83">
        <f>F8+'GS Pay Calculator'!$I20</f>
        <v>39057</v>
      </c>
      <c r="H8" s="83">
        <f>G8+'GS Pay Calculator'!$I20</f>
        <v>40173</v>
      </c>
      <c r="I8" s="83">
        <f>H8+'GS Pay Calculator'!$I20</f>
        <v>41289</v>
      </c>
      <c r="J8" s="83">
        <f>I8+'GS Pay Calculator'!$I20</f>
        <v>42405</v>
      </c>
      <c r="K8" s="83">
        <f>J8+'GS Pay Calculator'!$I20</f>
        <v>43521</v>
      </c>
    </row>
    <row r="9" spans="1:11" s="1" customFormat="1" x14ac:dyDescent="0.2">
      <c r="A9" s="5">
        <v>8</v>
      </c>
      <c r="B9" s="83">
        <f>'GS Pay Calculator'!H21</f>
        <v>37075</v>
      </c>
      <c r="C9" s="83">
        <f>B9+'GS Pay Calculator'!$I21</f>
        <v>38311</v>
      </c>
      <c r="D9" s="83">
        <f>C9+'GS Pay Calculator'!$I21</f>
        <v>39547</v>
      </c>
      <c r="E9" s="83">
        <f>D9+'GS Pay Calculator'!$I21</f>
        <v>40783</v>
      </c>
      <c r="F9" s="83">
        <f>E9+'GS Pay Calculator'!$I21</f>
        <v>42019</v>
      </c>
      <c r="G9" s="83">
        <f>F9+'GS Pay Calculator'!$I21</f>
        <v>43255</v>
      </c>
      <c r="H9" s="83">
        <f>G9+'GS Pay Calculator'!$I21</f>
        <v>44491</v>
      </c>
      <c r="I9" s="83">
        <f>H9+'GS Pay Calculator'!$I21</f>
        <v>45727</v>
      </c>
      <c r="J9" s="83">
        <f>I9+'GS Pay Calculator'!$I21</f>
        <v>46963</v>
      </c>
      <c r="K9" s="83">
        <f>J9+'GS Pay Calculator'!$I21</f>
        <v>48199</v>
      </c>
    </row>
    <row r="10" spans="1:11" s="1" customFormat="1" x14ac:dyDescent="0.2">
      <c r="A10" s="5">
        <v>9</v>
      </c>
      <c r="B10" s="83">
        <f>'GS Pay Calculator'!H22</f>
        <v>40949</v>
      </c>
      <c r="C10" s="83">
        <f>B10+'GS Pay Calculator'!$I22</f>
        <v>42314</v>
      </c>
      <c r="D10" s="83">
        <f>C10+'GS Pay Calculator'!$I22</f>
        <v>43679</v>
      </c>
      <c r="E10" s="83">
        <f>D10+'GS Pay Calculator'!$I22</f>
        <v>45044</v>
      </c>
      <c r="F10" s="83">
        <f>E10+'GS Pay Calculator'!$I22</f>
        <v>46409</v>
      </c>
      <c r="G10" s="83">
        <f>F10+'GS Pay Calculator'!$I22</f>
        <v>47774</v>
      </c>
      <c r="H10" s="83">
        <f>G10+'GS Pay Calculator'!$I22</f>
        <v>49139</v>
      </c>
      <c r="I10" s="83">
        <f>H10+'GS Pay Calculator'!$I22</f>
        <v>50504</v>
      </c>
      <c r="J10" s="83">
        <f>I10+'GS Pay Calculator'!$I22</f>
        <v>51869</v>
      </c>
      <c r="K10" s="83">
        <f>J10+'GS Pay Calculator'!$I22</f>
        <v>53234</v>
      </c>
    </row>
    <row r="11" spans="1:11" s="1" customFormat="1" x14ac:dyDescent="0.2">
      <c r="A11" s="5">
        <v>10</v>
      </c>
      <c r="B11" s="83">
        <f>'GS Pay Calculator'!H23</f>
        <v>45095</v>
      </c>
      <c r="C11" s="83">
        <f>B11+'GS Pay Calculator'!$I23</f>
        <v>46598</v>
      </c>
      <c r="D11" s="83">
        <f>C11+'GS Pay Calculator'!$I23</f>
        <v>48101</v>
      </c>
      <c r="E11" s="83">
        <f>D11+'GS Pay Calculator'!$I23</f>
        <v>49604</v>
      </c>
      <c r="F11" s="83">
        <f>E11+'GS Pay Calculator'!$I23</f>
        <v>51107</v>
      </c>
      <c r="G11" s="83">
        <f>F11+'GS Pay Calculator'!$I23</f>
        <v>52610</v>
      </c>
      <c r="H11" s="83">
        <f>G11+'GS Pay Calculator'!$I23</f>
        <v>54113</v>
      </c>
      <c r="I11" s="83">
        <f>H11+'GS Pay Calculator'!$I23</f>
        <v>55616</v>
      </c>
      <c r="J11" s="83">
        <f>I11+'GS Pay Calculator'!$I23</f>
        <v>57119</v>
      </c>
      <c r="K11" s="83">
        <f>J11+'GS Pay Calculator'!$I23</f>
        <v>58622</v>
      </c>
    </row>
    <row r="12" spans="1:11" s="1" customFormat="1" x14ac:dyDescent="0.2">
      <c r="A12" s="5">
        <v>11</v>
      </c>
      <c r="B12" s="83">
        <f>'GS Pay Calculator'!H24</f>
        <v>49544</v>
      </c>
      <c r="C12" s="83">
        <f>B12+'GS Pay Calculator'!$I24</f>
        <v>51195</v>
      </c>
      <c r="D12" s="83">
        <f>C12+'GS Pay Calculator'!$I24</f>
        <v>52846</v>
      </c>
      <c r="E12" s="83">
        <f>D12+'GS Pay Calculator'!$I24</f>
        <v>54497</v>
      </c>
      <c r="F12" s="83">
        <f>E12+'GS Pay Calculator'!$I24</f>
        <v>56148</v>
      </c>
      <c r="G12" s="83">
        <f>F12+'GS Pay Calculator'!$I24</f>
        <v>57799</v>
      </c>
      <c r="H12" s="83">
        <f>G12+'GS Pay Calculator'!$I24</f>
        <v>59450</v>
      </c>
      <c r="I12" s="83">
        <f>H12+'GS Pay Calculator'!$I24</f>
        <v>61101</v>
      </c>
      <c r="J12" s="83">
        <f>I12+'GS Pay Calculator'!$I24</f>
        <v>62752</v>
      </c>
      <c r="K12" s="83">
        <f>J12+'GS Pay Calculator'!$I24</f>
        <v>64403</v>
      </c>
    </row>
    <row r="13" spans="1:11" s="1" customFormat="1" x14ac:dyDescent="0.2">
      <c r="A13" s="5">
        <v>12</v>
      </c>
      <c r="B13" s="83">
        <f>'GS Pay Calculator'!H25</f>
        <v>59383</v>
      </c>
      <c r="C13" s="83">
        <f>B13+'GS Pay Calculator'!$I25</f>
        <v>61362</v>
      </c>
      <c r="D13" s="83">
        <f>C13+'GS Pay Calculator'!$I25</f>
        <v>63341</v>
      </c>
      <c r="E13" s="83">
        <f>D13+'GS Pay Calculator'!$I25</f>
        <v>65320</v>
      </c>
      <c r="F13" s="83">
        <f>E13+'GS Pay Calculator'!$I25</f>
        <v>67299</v>
      </c>
      <c r="G13" s="83">
        <f>F13+'GS Pay Calculator'!$I25</f>
        <v>69278</v>
      </c>
      <c r="H13" s="83">
        <f>G13+'GS Pay Calculator'!$I25</f>
        <v>71257</v>
      </c>
      <c r="I13" s="83">
        <f>H13+'GS Pay Calculator'!$I25</f>
        <v>73236</v>
      </c>
      <c r="J13" s="83">
        <f>I13+'GS Pay Calculator'!$I25</f>
        <v>75215</v>
      </c>
      <c r="K13" s="83">
        <f>J13+'GS Pay Calculator'!$I25</f>
        <v>77194</v>
      </c>
    </row>
    <row r="14" spans="1:11" s="1" customFormat="1" x14ac:dyDescent="0.2">
      <c r="A14" s="5">
        <v>13</v>
      </c>
      <c r="B14" s="83">
        <f>'GS Pay Calculator'!H26</f>
        <v>70615</v>
      </c>
      <c r="C14" s="83">
        <f>B14+'GS Pay Calculator'!$I26</f>
        <v>72969</v>
      </c>
      <c r="D14" s="83">
        <f>C14+'GS Pay Calculator'!$I26</f>
        <v>75323</v>
      </c>
      <c r="E14" s="83">
        <f>D14+'GS Pay Calculator'!$I26</f>
        <v>77677</v>
      </c>
      <c r="F14" s="83">
        <f>E14+'GS Pay Calculator'!$I26</f>
        <v>80031</v>
      </c>
      <c r="G14" s="83">
        <f>F14+'GS Pay Calculator'!$I26</f>
        <v>82385</v>
      </c>
      <c r="H14" s="83">
        <f>G14+'GS Pay Calculator'!$I26</f>
        <v>84739</v>
      </c>
      <c r="I14" s="83">
        <f>H14+'GS Pay Calculator'!$I26</f>
        <v>87093</v>
      </c>
      <c r="J14" s="83">
        <f>I14+'GS Pay Calculator'!$I26</f>
        <v>89447</v>
      </c>
      <c r="K14" s="83">
        <f>J14+'GS Pay Calculator'!$I26</f>
        <v>91801</v>
      </c>
    </row>
  </sheetData>
  <sheetProtection password="CCE4"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3"/>
  <sheetViews>
    <sheetView showGridLines="0" zoomScaleNormal="100" workbookViewId="0"/>
  </sheetViews>
  <sheetFormatPr defaultRowHeight="12.75" x14ac:dyDescent="0.2"/>
  <cols>
    <col min="1" max="1" width="50.5703125" customWidth="1"/>
    <col min="2" max="2" width="19.85546875" customWidth="1"/>
    <col min="3" max="3" width="10.7109375" customWidth="1"/>
  </cols>
  <sheetData>
    <row r="1" spans="1:3" ht="15" customHeight="1" x14ac:dyDescent="0.2">
      <c r="A1" s="99" t="s">
        <v>135</v>
      </c>
      <c r="B1" s="99" t="s">
        <v>136</v>
      </c>
      <c r="C1" s="99" t="s">
        <v>149</v>
      </c>
    </row>
    <row r="2" spans="1:3" ht="15" customHeight="1" x14ac:dyDescent="0.2">
      <c r="A2" s="100" t="s">
        <v>153</v>
      </c>
      <c r="B2" s="101">
        <v>0</v>
      </c>
      <c r="C2" s="105">
        <v>0</v>
      </c>
    </row>
    <row r="3" spans="1:3" ht="15" customHeight="1" x14ac:dyDescent="0.2">
      <c r="A3" s="100" t="s">
        <v>134</v>
      </c>
      <c r="B3" s="101">
        <v>0.1386</v>
      </c>
      <c r="C3" s="105">
        <v>0</v>
      </c>
    </row>
    <row r="4" spans="1:3" ht="15" customHeight="1" x14ac:dyDescent="0.2">
      <c r="A4" s="100" t="s">
        <v>103</v>
      </c>
      <c r="B4" s="101">
        <v>0.1855</v>
      </c>
      <c r="C4" s="105">
        <v>0</v>
      </c>
    </row>
    <row r="5" spans="1:3" ht="15" customHeight="1" x14ac:dyDescent="0.2">
      <c r="A5" s="100" t="s">
        <v>104</v>
      </c>
      <c r="B5" s="102">
        <v>0.23980000000000001</v>
      </c>
      <c r="C5" s="105">
        <v>0</v>
      </c>
    </row>
    <row r="6" spans="1:3" ht="15" customHeight="1" x14ac:dyDescent="0.2">
      <c r="A6" s="100" t="s">
        <v>105</v>
      </c>
      <c r="B6" s="102">
        <v>0.16389999999999999</v>
      </c>
      <c r="C6" s="105">
        <v>0</v>
      </c>
    </row>
    <row r="7" spans="1:3" ht="15" customHeight="1" x14ac:dyDescent="0.2">
      <c r="A7" s="100" t="s">
        <v>106</v>
      </c>
      <c r="B7" s="102">
        <v>0.2447</v>
      </c>
      <c r="C7" s="105">
        <v>0</v>
      </c>
    </row>
    <row r="8" spans="1:3" ht="15" customHeight="1" x14ac:dyDescent="0.2">
      <c r="A8" s="100" t="s">
        <v>107</v>
      </c>
      <c r="B8" s="102">
        <v>0.18279999999999999</v>
      </c>
      <c r="C8" s="105">
        <v>0</v>
      </c>
    </row>
    <row r="9" spans="1:3" ht="15" customHeight="1" x14ac:dyDescent="0.2">
      <c r="A9" s="100" t="s">
        <v>108</v>
      </c>
      <c r="B9" s="102">
        <v>0.18160000000000001</v>
      </c>
      <c r="C9" s="105">
        <v>0</v>
      </c>
    </row>
    <row r="10" spans="1:3" ht="15" customHeight="1" x14ac:dyDescent="0.2">
      <c r="A10" s="100" t="s">
        <v>109</v>
      </c>
      <c r="B10" s="102">
        <v>0.16619999999999999</v>
      </c>
      <c r="C10" s="105">
        <v>0</v>
      </c>
    </row>
    <row r="11" spans="1:3" ht="15" customHeight="1" x14ac:dyDescent="0.2">
      <c r="A11" s="100" t="s">
        <v>110</v>
      </c>
      <c r="B11" s="102">
        <v>0.19950000000000001</v>
      </c>
      <c r="C11" s="105">
        <v>0</v>
      </c>
    </row>
    <row r="12" spans="1:3" ht="15" customHeight="1" x14ac:dyDescent="0.2">
      <c r="A12" s="100" t="s">
        <v>111</v>
      </c>
      <c r="B12" s="102">
        <v>0.159</v>
      </c>
      <c r="C12" s="105">
        <v>0</v>
      </c>
    </row>
    <row r="13" spans="1:3" ht="15" customHeight="1" x14ac:dyDescent="0.2">
      <c r="A13" s="100" t="s">
        <v>112</v>
      </c>
      <c r="B13" s="102">
        <v>0.2203</v>
      </c>
      <c r="C13" s="105">
        <v>0</v>
      </c>
    </row>
    <row r="14" spans="1:3" ht="15" customHeight="1" x14ac:dyDescent="0.2">
      <c r="A14" s="100" t="s">
        <v>113</v>
      </c>
      <c r="B14" s="102">
        <v>0.2356</v>
      </c>
      <c r="C14" s="105">
        <v>0</v>
      </c>
    </row>
    <row r="15" spans="1:3" ht="15" customHeight="1" x14ac:dyDescent="0.2">
      <c r="A15" s="100" t="s">
        <v>114</v>
      </c>
      <c r="B15" s="102">
        <v>0.25080000000000002</v>
      </c>
      <c r="C15" s="105">
        <v>0</v>
      </c>
    </row>
    <row r="16" spans="1:3" ht="15" customHeight="1" x14ac:dyDescent="0.2">
      <c r="A16" s="100" t="s">
        <v>115</v>
      </c>
      <c r="B16" s="102">
        <v>0.2828</v>
      </c>
      <c r="C16" s="105">
        <v>0</v>
      </c>
    </row>
    <row r="17" spans="1:3" ht="15" customHeight="1" x14ac:dyDescent="0.2">
      <c r="A17" s="100" t="s">
        <v>116</v>
      </c>
      <c r="B17" s="102">
        <v>0.15459999999999999</v>
      </c>
      <c r="C17" s="105">
        <v>0</v>
      </c>
    </row>
    <row r="18" spans="1:3" ht="15" customHeight="1" x14ac:dyDescent="0.2">
      <c r="A18" s="100" t="s">
        <v>117</v>
      </c>
      <c r="B18" s="102">
        <v>0.14230000000000001</v>
      </c>
      <c r="C18" s="105">
        <v>0</v>
      </c>
    </row>
    <row r="19" spans="1:3" ht="15" customHeight="1" x14ac:dyDescent="0.2">
      <c r="A19" s="100" t="s">
        <v>118</v>
      </c>
      <c r="B19" s="102">
        <v>0.2651</v>
      </c>
      <c r="C19" s="105">
        <v>0</v>
      </c>
    </row>
    <row r="20" spans="1:3" ht="15" customHeight="1" x14ac:dyDescent="0.2">
      <c r="A20" s="100" t="s">
        <v>119</v>
      </c>
      <c r="B20" s="102">
        <v>0.2021</v>
      </c>
      <c r="C20" s="105">
        <v>0</v>
      </c>
    </row>
    <row r="21" spans="1:3" ht="15" customHeight="1" x14ac:dyDescent="0.2">
      <c r="A21" s="100" t="s">
        <v>120</v>
      </c>
      <c r="B21" s="102">
        <v>0.17649999999999999</v>
      </c>
      <c r="C21" s="105">
        <v>0</v>
      </c>
    </row>
    <row r="22" spans="1:3" ht="15" customHeight="1" x14ac:dyDescent="0.2">
      <c r="A22" s="100" t="s">
        <v>121</v>
      </c>
      <c r="B22" s="102">
        <v>0.2036</v>
      </c>
      <c r="C22" s="105">
        <v>0</v>
      </c>
    </row>
    <row r="23" spans="1:3" ht="15" customHeight="1" x14ac:dyDescent="0.2">
      <c r="A23" s="100" t="s">
        <v>122</v>
      </c>
      <c r="B23" s="102">
        <v>0.27960000000000002</v>
      </c>
      <c r="C23" s="105">
        <v>0</v>
      </c>
    </row>
    <row r="24" spans="1:3" ht="15" customHeight="1" x14ac:dyDescent="0.2">
      <c r="A24" s="100" t="s">
        <v>123</v>
      </c>
      <c r="B24" s="102">
        <v>0.21249999999999999</v>
      </c>
      <c r="C24" s="105">
        <v>0</v>
      </c>
    </row>
    <row r="25" spans="1:3" ht="15" customHeight="1" x14ac:dyDescent="0.2">
      <c r="A25" s="100" t="s">
        <v>124</v>
      </c>
      <c r="B25" s="102">
        <v>0.1608</v>
      </c>
      <c r="C25" s="105">
        <v>0</v>
      </c>
    </row>
    <row r="26" spans="1:3" ht="15" customHeight="1" x14ac:dyDescent="0.2">
      <c r="A26" s="100" t="s">
        <v>125</v>
      </c>
      <c r="B26" s="102">
        <v>0.15859999999999999</v>
      </c>
      <c r="C26" s="105">
        <v>0</v>
      </c>
    </row>
    <row r="27" spans="1:3" ht="15" customHeight="1" x14ac:dyDescent="0.2">
      <c r="A27" s="100" t="s">
        <v>126</v>
      </c>
      <c r="B27" s="102">
        <v>0.1971</v>
      </c>
      <c r="C27" s="105">
        <v>0</v>
      </c>
    </row>
    <row r="28" spans="1:3" ht="15" customHeight="1" x14ac:dyDescent="0.2">
      <c r="A28" s="100" t="s">
        <v>127</v>
      </c>
      <c r="B28" s="102">
        <v>0.17380000000000001</v>
      </c>
      <c r="C28" s="105">
        <v>0</v>
      </c>
    </row>
    <row r="29" spans="1:3" ht="15" customHeight="1" x14ac:dyDescent="0.2">
      <c r="A29" s="100" t="s">
        <v>128</v>
      </c>
      <c r="B29" s="102">
        <v>0.161</v>
      </c>
      <c r="C29" s="105">
        <v>0</v>
      </c>
    </row>
    <row r="30" spans="1:3" ht="15" customHeight="1" x14ac:dyDescent="0.2">
      <c r="A30" s="100" t="s">
        <v>129</v>
      </c>
      <c r="B30" s="102">
        <v>0.21529999999999999</v>
      </c>
      <c r="C30" s="105">
        <v>0</v>
      </c>
    </row>
    <row r="31" spans="1:3" ht="15" customHeight="1" x14ac:dyDescent="0.2">
      <c r="A31" s="100" t="s">
        <v>130</v>
      </c>
      <c r="B31" s="102">
        <v>0.2344</v>
      </c>
      <c r="C31" s="105">
        <v>0</v>
      </c>
    </row>
    <row r="32" spans="1:3" ht="15" customHeight="1" x14ac:dyDescent="0.2">
      <c r="A32" s="100" t="s">
        <v>131</v>
      </c>
      <c r="B32" s="102">
        <v>0.34350000000000003</v>
      </c>
      <c r="C32" s="105">
        <v>0</v>
      </c>
    </row>
    <row r="33" spans="1:3" ht="15" customHeight="1" x14ac:dyDescent="0.2">
      <c r="A33" s="100" t="s">
        <v>132</v>
      </c>
      <c r="B33" s="102">
        <v>0.21060000000000001</v>
      </c>
      <c r="C33" s="105">
        <v>0</v>
      </c>
    </row>
    <row r="34" spans="1:3" ht="15" customHeight="1" x14ac:dyDescent="0.2">
      <c r="A34" s="100" t="s">
        <v>133</v>
      </c>
      <c r="B34" s="102">
        <v>0.23100000000000001</v>
      </c>
      <c r="C34" s="105">
        <v>0</v>
      </c>
    </row>
    <row r="35" spans="1:3" ht="15" customHeight="1" x14ac:dyDescent="0.2">
      <c r="A35" s="100" t="s">
        <v>140</v>
      </c>
      <c r="B35" s="102">
        <v>0.23</v>
      </c>
      <c r="C35" s="106">
        <v>1</v>
      </c>
    </row>
    <row r="36" spans="1:3" ht="15" customHeight="1" x14ac:dyDescent="0.2">
      <c r="A36" s="100" t="s">
        <v>141</v>
      </c>
      <c r="B36" s="102">
        <v>0.23</v>
      </c>
      <c r="C36" s="106">
        <v>1</v>
      </c>
    </row>
    <row r="37" spans="1:3" ht="15" customHeight="1" x14ac:dyDescent="0.2">
      <c r="A37" s="100" t="s">
        <v>142</v>
      </c>
      <c r="B37" s="102">
        <v>0.23</v>
      </c>
      <c r="C37" s="106">
        <v>1</v>
      </c>
    </row>
    <row r="38" spans="1:3" ht="15" customHeight="1" x14ac:dyDescent="0.2">
      <c r="A38" s="100" t="s">
        <v>138</v>
      </c>
      <c r="B38" s="102">
        <v>0.25</v>
      </c>
      <c r="C38" s="106">
        <v>1</v>
      </c>
    </row>
    <row r="39" spans="1:3" ht="15" customHeight="1" x14ac:dyDescent="0.2">
      <c r="A39" s="100" t="s">
        <v>93</v>
      </c>
      <c r="B39" s="102">
        <v>0.25</v>
      </c>
      <c r="C39" s="106">
        <v>1</v>
      </c>
    </row>
    <row r="40" spans="1:3" ht="15" customHeight="1" x14ac:dyDescent="0.2">
      <c r="A40" s="100" t="s">
        <v>143</v>
      </c>
      <c r="B40" s="102">
        <v>0.18</v>
      </c>
      <c r="C40" s="106">
        <v>1</v>
      </c>
    </row>
    <row r="41" spans="1:3" ht="15" customHeight="1" x14ac:dyDescent="0.2">
      <c r="A41" s="100" t="s">
        <v>144</v>
      </c>
      <c r="B41" s="102">
        <v>0.25</v>
      </c>
      <c r="C41" s="106">
        <v>1</v>
      </c>
    </row>
    <row r="42" spans="1:3" ht="15" customHeight="1" x14ac:dyDescent="0.2">
      <c r="A42" s="100" t="s">
        <v>145</v>
      </c>
      <c r="B42" s="102">
        <v>0.25</v>
      </c>
      <c r="C42" s="106">
        <v>1</v>
      </c>
    </row>
    <row r="43" spans="1:3" ht="15" customHeight="1" x14ac:dyDescent="0.2">
      <c r="A43" s="100" t="s">
        <v>147</v>
      </c>
      <c r="B43" s="102">
        <v>0.13</v>
      </c>
      <c r="C43" s="106">
        <v>1</v>
      </c>
    </row>
    <row r="44" spans="1:3" ht="15" customHeight="1" x14ac:dyDescent="0.2">
      <c r="A44" s="100" t="s">
        <v>139</v>
      </c>
      <c r="B44" s="102">
        <v>0.25</v>
      </c>
      <c r="C44" s="106">
        <v>1</v>
      </c>
    </row>
    <row r="45" spans="1:3" ht="15" customHeight="1" x14ac:dyDescent="0.2">
      <c r="A45" s="100" t="s">
        <v>213</v>
      </c>
      <c r="B45" s="102">
        <v>0.25</v>
      </c>
      <c r="C45" s="106">
        <v>1</v>
      </c>
    </row>
    <row r="46" spans="1:3" ht="15" customHeight="1" x14ac:dyDescent="0.2">
      <c r="A46" s="100" t="s">
        <v>214</v>
      </c>
      <c r="B46" s="102">
        <v>0.25</v>
      </c>
      <c r="C46" s="106">
        <v>1</v>
      </c>
    </row>
    <row r="47" spans="1:3" ht="15" customHeight="1" x14ac:dyDescent="0.2">
      <c r="A47" s="100" t="s">
        <v>215</v>
      </c>
      <c r="B47" s="102">
        <v>0.25</v>
      </c>
      <c r="C47" s="106">
        <v>1</v>
      </c>
    </row>
    <row r="48" spans="1:3" ht="15" customHeight="1" x14ac:dyDescent="0.2">
      <c r="A48" s="100" t="s">
        <v>146</v>
      </c>
      <c r="B48" s="102">
        <v>0.25</v>
      </c>
      <c r="C48" s="106">
        <v>1</v>
      </c>
    </row>
    <row r="49" spans="1:3" ht="15" customHeight="1" x14ac:dyDescent="0.2">
      <c r="A49" s="100" t="s">
        <v>216</v>
      </c>
      <c r="B49" s="102">
        <v>0.25</v>
      </c>
      <c r="C49" s="106">
        <v>1</v>
      </c>
    </row>
    <row r="51" spans="1:3" x14ac:dyDescent="0.2">
      <c r="A51" s="103" t="s">
        <v>164</v>
      </c>
    </row>
    <row r="53" spans="1:3" x14ac:dyDescent="0.2">
      <c r="A53" t="s">
        <v>165</v>
      </c>
    </row>
  </sheetData>
  <sheetProtection password="CCE4" sheet="1" objects="1" scenarios="1"/>
  <phoneticPr fontId="19"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showGridLines="0" workbookViewId="0">
      <selection activeCell="B15" sqref="B15"/>
    </sheetView>
  </sheetViews>
  <sheetFormatPr defaultRowHeight="12.75" x14ac:dyDescent="0.2"/>
  <cols>
    <col min="1" max="1" width="9.140625" style="35"/>
    <col min="2" max="11" width="12.28515625" style="35" customWidth="1"/>
    <col min="12" max="16384" width="9.140625" style="35"/>
  </cols>
  <sheetData>
    <row r="1" spans="1:11" s="7" customFormat="1" ht="25.5" customHeight="1" x14ac:dyDescent="0.4">
      <c r="D1" s="9" t="s">
        <v>61</v>
      </c>
    </row>
    <row r="2" spans="1:11" x14ac:dyDescent="0.2">
      <c r="E2" s="45"/>
      <c r="G2" s="47"/>
      <c r="H2" s="47"/>
    </row>
    <row r="3" spans="1:11" x14ac:dyDescent="0.2">
      <c r="A3" s="71" t="s">
        <v>62</v>
      </c>
      <c r="E3" s="45"/>
      <c r="G3" s="47"/>
      <c r="H3" s="47"/>
    </row>
    <row r="4" spans="1:11" x14ac:dyDescent="0.2">
      <c r="A4" s="30" t="s">
        <v>67</v>
      </c>
      <c r="E4" s="45"/>
      <c r="G4" s="47"/>
      <c r="H4" s="47"/>
    </row>
    <row r="5" spans="1:11" x14ac:dyDescent="0.2">
      <c r="E5" s="45"/>
      <c r="G5" s="47"/>
      <c r="H5" s="47"/>
    </row>
    <row r="6" spans="1:11" x14ac:dyDescent="0.2">
      <c r="A6" s="35" t="s">
        <v>96</v>
      </c>
      <c r="E6" s="45"/>
      <c r="G6" s="47"/>
      <c r="H6" s="47"/>
    </row>
    <row r="7" spans="1:11" x14ac:dyDescent="0.2">
      <c r="A7" s="35" t="s">
        <v>97</v>
      </c>
      <c r="E7" s="45"/>
      <c r="G7" s="47"/>
      <c r="H7" s="47"/>
    </row>
    <row r="8" spans="1:11" x14ac:dyDescent="0.2">
      <c r="A8" s="35" t="s">
        <v>68</v>
      </c>
      <c r="E8" s="45"/>
      <c r="G8" s="47"/>
      <c r="H8" s="47"/>
    </row>
    <row r="9" spans="1:11" x14ac:dyDescent="0.2">
      <c r="E9" s="45"/>
      <c r="G9" s="47"/>
      <c r="H9" s="47"/>
    </row>
    <row r="10" spans="1:11" x14ac:dyDescent="0.2">
      <c r="A10" s="30" t="s">
        <v>95</v>
      </c>
      <c r="E10" s="45"/>
      <c r="G10" s="47"/>
      <c r="H10" s="47"/>
    </row>
    <row r="11" spans="1:11" x14ac:dyDescent="0.2">
      <c r="A11" s="35" t="s">
        <v>63</v>
      </c>
      <c r="E11" s="45"/>
      <c r="G11" s="47"/>
      <c r="H11" s="47"/>
    </row>
    <row r="12" spans="1:11" x14ac:dyDescent="0.2">
      <c r="E12" s="45"/>
      <c r="G12" s="47"/>
      <c r="H12" s="47"/>
    </row>
    <row r="13" spans="1:11" ht="12.75" customHeight="1" x14ac:dyDescent="0.2">
      <c r="A13" s="48" t="s">
        <v>27</v>
      </c>
      <c r="B13" s="136" t="s">
        <v>28</v>
      </c>
      <c r="C13" s="137"/>
      <c r="D13" s="137"/>
      <c r="E13" s="137"/>
      <c r="F13" s="137"/>
      <c r="G13" s="137"/>
      <c r="H13" s="137"/>
      <c r="I13" s="137"/>
      <c r="J13" s="137"/>
      <c r="K13" s="137"/>
    </row>
    <row r="14" spans="1:11" x14ac:dyDescent="0.2">
      <c r="A14" s="49" t="s">
        <v>29</v>
      </c>
      <c r="B14" s="50">
        <v>1</v>
      </c>
      <c r="C14" s="50">
        <v>2</v>
      </c>
      <c r="D14" s="50">
        <v>3</v>
      </c>
      <c r="E14" s="50">
        <v>4</v>
      </c>
      <c r="F14" s="50">
        <v>5</v>
      </c>
      <c r="G14" s="50">
        <v>6</v>
      </c>
      <c r="H14" s="50">
        <v>7</v>
      </c>
      <c r="I14" s="50">
        <v>8</v>
      </c>
      <c r="J14" s="50">
        <v>9</v>
      </c>
      <c r="K14" s="50">
        <v>10</v>
      </c>
    </row>
    <row r="15" spans="1:11" x14ac:dyDescent="0.2">
      <c r="A15" s="51">
        <v>3</v>
      </c>
      <c r="B15" s="72">
        <v>0</v>
      </c>
      <c r="C15" s="72">
        <v>0</v>
      </c>
      <c r="D15" s="72">
        <v>0</v>
      </c>
      <c r="E15" s="72">
        <v>0</v>
      </c>
      <c r="F15" s="72">
        <v>0</v>
      </c>
      <c r="G15" s="72">
        <v>0</v>
      </c>
      <c r="H15" s="72">
        <v>0</v>
      </c>
      <c r="I15" s="72">
        <v>0</v>
      </c>
      <c r="J15" s="72">
        <v>0</v>
      </c>
      <c r="K15" s="72">
        <v>0</v>
      </c>
    </row>
    <row r="16" spans="1:11" x14ac:dyDescent="0.2">
      <c r="A16" s="51">
        <v>4</v>
      </c>
      <c r="B16" s="72">
        <v>0</v>
      </c>
      <c r="C16" s="72">
        <v>0</v>
      </c>
      <c r="D16" s="72">
        <v>0</v>
      </c>
      <c r="E16" s="72">
        <v>0</v>
      </c>
      <c r="F16" s="72">
        <v>0</v>
      </c>
      <c r="G16" s="72">
        <v>0</v>
      </c>
      <c r="H16" s="72">
        <v>0</v>
      </c>
      <c r="I16" s="72">
        <v>0</v>
      </c>
      <c r="J16" s="72">
        <v>0</v>
      </c>
      <c r="K16" s="72">
        <v>0</v>
      </c>
    </row>
    <row r="17" spans="1:11" x14ac:dyDescent="0.2">
      <c r="A17" s="51">
        <v>5</v>
      </c>
      <c r="B17" s="72">
        <v>0</v>
      </c>
      <c r="C17" s="72">
        <v>0</v>
      </c>
      <c r="D17" s="72">
        <v>0</v>
      </c>
      <c r="E17" s="72">
        <v>0</v>
      </c>
      <c r="F17" s="72">
        <v>0</v>
      </c>
      <c r="G17" s="72">
        <v>0</v>
      </c>
      <c r="H17" s="72">
        <v>0</v>
      </c>
      <c r="I17" s="72">
        <v>0</v>
      </c>
      <c r="J17" s="72">
        <v>0</v>
      </c>
      <c r="K17" s="72">
        <v>0</v>
      </c>
    </row>
    <row r="18" spans="1:11" x14ac:dyDescent="0.2">
      <c r="A18" s="51">
        <v>6</v>
      </c>
      <c r="B18" s="72">
        <v>0</v>
      </c>
      <c r="C18" s="72">
        <v>0</v>
      </c>
      <c r="D18" s="72">
        <v>0</v>
      </c>
      <c r="E18" s="72">
        <v>0</v>
      </c>
      <c r="F18" s="72">
        <v>0</v>
      </c>
      <c r="G18" s="72">
        <v>0</v>
      </c>
      <c r="H18" s="72">
        <v>0</v>
      </c>
      <c r="I18" s="72">
        <v>0</v>
      </c>
      <c r="J18" s="72">
        <v>0</v>
      </c>
      <c r="K18" s="72">
        <v>0</v>
      </c>
    </row>
    <row r="19" spans="1:11" x14ac:dyDescent="0.2">
      <c r="A19" s="51">
        <v>7</v>
      </c>
      <c r="B19" s="72">
        <v>0</v>
      </c>
      <c r="C19" s="72">
        <v>0</v>
      </c>
      <c r="D19" s="72">
        <v>0</v>
      </c>
      <c r="E19" s="72">
        <v>0</v>
      </c>
      <c r="F19" s="72">
        <v>0</v>
      </c>
      <c r="G19" s="72">
        <v>0</v>
      </c>
      <c r="H19" s="72">
        <v>0</v>
      </c>
      <c r="I19" s="72">
        <v>0</v>
      </c>
      <c r="J19" s="72">
        <v>0</v>
      </c>
      <c r="K19" s="72">
        <v>0</v>
      </c>
    </row>
    <row r="20" spans="1:11" x14ac:dyDescent="0.2">
      <c r="A20" s="51">
        <v>8</v>
      </c>
      <c r="B20" s="72">
        <v>0</v>
      </c>
      <c r="C20" s="72">
        <v>0</v>
      </c>
      <c r="D20" s="72">
        <v>0</v>
      </c>
      <c r="E20" s="72">
        <v>0</v>
      </c>
      <c r="F20" s="72">
        <v>0</v>
      </c>
      <c r="G20" s="72">
        <v>0</v>
      </c>
      <c r="H20" s="72">
        <v>0</v>
      </c>
      <c r="I20" s="72">
        <v>0</v>
      </c>
      <c r="J20" s="72">
        <v>0</v>
      </c>
      <c r="K20" s="72">
        <v>0</v>
      </c>
    </row>
    <row r="21" spans="1:11" x14ac:dyDescent="0.2">
      <c r="A21" s="51">
        <v>9</v>
      </c>
      <c r="B21" s="72">
        <v>0</v>
      </c>
      <c r="C21" s="72">
        <v>0</v>
      </c>
      <c r="D21" s="72">
        <v>0</v>
      </c>
      <c r="E21" s="72">
        <v>0</v>
      </c>
      <c r="F21" s="72">
        <v>0</v>
      </c>
      <c r="G21" s="72">
        <v>0</v>
      </c>
      <c r="H21" s="72">
        <v>0</v>
      </c>
      <c r="I21" s="72">
        <v>0</v>
      </c>
      <c r="J21" s="72">
        <v>0</v>
      </c>
      <c r="K21" s="72">
        <v>0</v>
      </c>
    </row>
    <row r="22" spans="1:11" x14ac:dyDescent="0.2">
      <c r="A22" s="51">
        <v>10</v>
      </c>
      <c r="B22" s="72">
        <v>0</v>
      </c>
      <c r="C22" s="72">
        <v>0</v>
      </c>
      <c r="D22" s="72">
        <v>0</v>
      </c>
      <c r="E22" s="72">
        <v>0</v>
      </c>
      <c r="F22" s="72">
        <v>0</v>
      </c>
      <c r="G22" s="72">
        <v>0</v>
      </c>
      <c r="H22" s="72">
        <v>0</v>
      </c>
      <c r="I22" s="72">
        <v>0</v>
      </c>
      <c r="J22" s="72">
        <v>0</v>
      </c>
      <c r="K22" s="72">
        <v>0</v>
      </c>
    </row>
    <row r="23" spans="1:11" x14ac:dyDescent="0.2">
      <c r="A23" s="51">
        <v>11</v>
      </c>
      <c r="B23" s="72">
        <v>0</v>
      </c>
      <c r="C23" s="72">
        <v>0</v>
      </c>
      <c r="D23" s="72">
        <v>0</v>
      </c>
      <c r="E23" s="72">
        <v>0</v>
      </c>
      <c r="F23" s="72">
        <v>0</v>
      </c>
      <c r="G23" s="72">
        <v>0</v>
      </c>
      <c r="H23" s="72">
        <v>0</v>
      </c>
      <c r="I23" s="72">
        <v>0</v>
      </c>
      <c r="J23" s="72">
        <v>0</v>
      </c>
      <c r="K23" s="72">
        <v>0</v>
      </c>
    </row>
    <row r="24" spans="1:11" x14ac:dyDescent="0.2">
      <c r="A24" s="51">
        <v>12</v>
      </c>
      <c r="B24" s="72">
        <v>0</v>
      </c>
      <c r="C24" s="72">
        <v>0</v>
      </c>
      <c r="D24" s="72">
        <v>0</v>
      </c>
      <c r="E24" s="72">
        <v>0</v>
      </c>
      <c r="F24" s="72">
        <v>0</v>
      </c>
      <c r="G24" s="72">
        <v>0</v>
      </c>
      <c r="H24" s="72">
        <v>0</v>
      </c>
      <c r="I24" s="72">
        <v>0</v>
      </c>
      <c r="J24" s="72">
        <v>0</v>
      </c>
      <c r="K24" s="72">
        <v>0</v>
      </c>
    </row>
    <row r="25" spans="1:11" x14ac:dyDescent="0.2">
      <c r="A25" s="51">
        <v>13</v>
      </c>
      <c r="B25" s="72">
        <v>0</v>
      </c>
      <c r="C25" s="72">
        <v>0</v>
      </c>
      <c r="D25" s="72">
        <v>0</v>
      </c>
      <c r="E25" s="72">
        <v>0</v>
      </c>
      <c r="F25" s="72">
        <v>0</v>
      </c>
      <c r="G25" s="72">
        <v>0</v>
      </c>
      <c r="H25" s="72">
        <v>0</v>
      </c>
      <c r="I25" s="72">
        <v>0</v>
      </c>
      <c r="J25" s="72">
        <v>0</v>
      </c>
      <c r="K25" s="72">
        <v>0</v>
      </c>
    </row>
    <row r="26" spans="1:11" x14ac:dyDescent="0.2">
      <c r="A26" s="30"/>
    </row>
    <row r="27" spans="1:11" x14ac:dyDescent="0.2">
      <c r="E27" s="45"/>
      <c r="G27" s="47"/>
    </row>
    <row r="28" spans="1:11" x14ac:dyDescent="0.2">
      <c r="A28" s="7"/>
      <c r="B28" s="7"/>
      <c r="C28" s="7"/>
      <c r="D28" s="7"/>
      <c r="E28" s="7"/>
      <c r="F28" s="7"/>
      <c r="G28" s="7"/>
      <c r="H28" s="7"/>
      <c r="I28" s="7"/>
      <c r="J28" s="7"/>
      <c r="K28" s="7"/>
    </row>
    <row r="29" spans="1:11" ht="12.75" customHeight="1" x14ac:dyDescent="0.2">
      <c r="A29" s="7"/>
      <c r="B29" s="7"/>
      <c r="C29" s="7"/>
      <c r="D29" s="7"/>
      <c r="E29" s="7"/>
      <c r="F29" s="7"/>
      <c r="G29" s="7"/>
      <c r="H29" s="7"/>
      <c r="I29" s="7"/>
      <c r="J29" s="7"/>
      <c r="K29" s="7"/>
    </row>
    <row r="30" spans="1:11" x14ac:dyDescent="0.2">
      <c r="A30" s="7"/>
      <c r="B30" s="7"/>
      <c r="C30" s="7"/>
      <c r="D30" s="7"/>
      <c r="E30" s="7"/>
      <c r="F30" s="7"/>
      <c r="G30" s="7"/>
      <c r="H30" s="7"/>
      <c r="I30" s="7"/>
      <c r="J30" s="7"/>
      <c r="K30" s="7"/>
    </row>
    <row r="31" spans="1:11" x14ac:dyDescent="0.2">
      <c r="A31" s="7"/>
      <c r="B31" s="7"/>
      <c r="C31" s="7"/>
      <c r="D31" s="7"/>
      <c r="E31" s="7"/>
      <c r="F31" s="7"/>
      <c r="G31" s="7"/>
      <c r="H31" s="7"/>
      <c r="I31" s="7"/>
      <c r="J31" s="7"/>
      <c r="K31" s="7"/>
    </row>
    <row r="32" spans="1:11" x14ac:dyDescent="0.2">
      <c r="A32" s="7"/>
      <c r="B32" s="7"/>
      <c r="C32" s="7"/>
      <c r="D32" s="7"/>
      <c r="E32" s="7"/>
      <c r="F32" s="7"/>
      <c r="G32" s="7"/>
      <c r="H32" s="7"/>
      <c r="I32" s="7"/>
      <c r="J32" s="7"/>
      <c r="K32" s="7"/>
    </row>
    <row r="33" spans="1:11" x14ac:dyDescent="0.2">
      <c r="A33" s="7"/>
      <c r="B33" s="7"/>
      <c r="C33" s="7"/>
      <c r="D33" s="7"/>
      <c r="E33" s="7"/>
      <c r="F33" s="7"/>
      <c r="G33" s="7"/>
      <c r="H33" s="7"/>
      <c r="I33" s="7"/>
      <c r="J33" s="7"/>
      <c r="K33" s="7"/>
    </row>
    <row r="34" spans="1:11" x14ac:dyDescent="0.2">
      <c r="A34" s="7"/>
      <c r="B34" s="7"/>
      <c r="C34" s="7"/>
      <c r="D34" s="7"/>
      <c r="E34" s="7"/>
      <c r="F34" s="7"/>
      <c r="G34" s="7"/>
      <c r="H34" s="7"/>
      <c r="I34" s="7"/>
      <c r="J34" s="7"/>
      <c r="K34" s="7"/>
    </row>
    <row r="35" spans="1:11" x14ac:dyDescent="0.2">
      <c r="A35" s="7"/>
      <c r="B35" s="7"/>
      <c r="C35" s="7"/>
      <c r="D35" s="7"/>
      <c r="E35" s="7"/>
      <c r="F35" s="7"/>
      <c r="G35" s="7"/>
      <c r="H35" s="7"/>
      <c r="I35" s="7"/>
      <c r="J35" s="7"/>
      <c r="K35" s="7"/>
    </row>
    <row r="36" spans="1:11" x14ac:dyDescent="0.2">
      <c r="A36" s="7"/>
      <c r="B36" s="7"/>
      <c r="C36" s="7"/>
      <c r="D36" s="7"/>
      <c r="E36" s="7"/>
      <c r="F36" s="7"/>
      <c r="G36" s="7"/>
      <c r="H36" s="7"/>
      <c r="I36" s="7"/>
      <c r="J36" s="7"/>
      <c r="K36" s="7"/>
    </row>
    <row r="37" spans="1:11" x14ac:dyDescent="0.2">
      <c r="A37" s="7"/>
      <c r="B37" s="7"/>
      <c r="C37" s="7"/>
      <c r="D37" s="7"/>
      <c r="E37" s="7"/>
      <c r="F37" s="7"/>
      <c r="G37" s="7"/>
      <c r="H37" s="7"/>
      <c r="I37" s="7"/>
      <c r="J37" s="7"/>
      <c r="K37" s="7"/>
    </row>
    <row r="38" spans="1:11" x14ac:dyDescent="0.2">
      <c r="A38" s="7"/>
      <c r="B38" s="7"/>
      <c r="C38" s="7"/>
      <c r="D38" s="7"/>
      <c r="E38" s="7"/>
      <c r="F38" s="7"/>
      <c r="G38" s="7"/>
      <c r="H38" s="7"/>
      <c r="I38" s="7"/>
      <c r="J38" s="7"/>
      <c r="K38" s="7"/>
    </row>
    <row r="39" spans="1:11" x14ac:dyDescent="0.2">
      <c r="A39" s="7"/>
      <c r="B39" s="7"/>
      <c r="C39" s="7"/>
      <c r="D39" s="7"/>
      <c r="E39" s="7"/>
      <c r="F39" s="7"/>
      <c r="G39" s="7"/>
      <c r="H39" s="7"/>
      <c r="I39" s="7"/>
      <c r="J39" s="7"/>
      <c r="K39" s="7"/>
    </row>
    <row r="40" spans="1:11" x14ac:dyDescent="0.2">
      <c r="A40" s="7"/>
      <c r="B40" s="7"/>
      <c r="C40" s="7"/>
      <c r="D40" s="7"/>
      <c r="E40" s="7"/>
      <c r="F40" s="7"/>
      <c r="G40" s="7"/>
      <c r="H40" s="7"/>
      <c r="I40" s="7"/>
      <c r="J40" s="7"/>
      <c r="K40" s="7"/>
    </row>
    <row r="41" spans="1:11" x14ac:dyDescent="0.2">
      <c r="A41" s="7"/>
      <c r="B41" s="7"/>
      <c r="C41" s="7"/>
      <c r="D41" s="7"/>
      <c r="E41" s="7"/>
      <c r="F41" s="7"/>
      <c r="G41" s="7"/>
      <c r="H41" s="7"/>
      <c r="I41" s="7"/>
      <c r="J41" s="7"/>
      <c r="K41" s="7"/>
    </row>
  </sheetData>
  <sheetProtection password="CCE4" sheet="1" objects="1" scenarios="1"/>
  <mergeCells count="1">
    <mergeCell ref="B13:K13"/>
  </mergeCells>
  <phoneticPr fontId="0" type="noConversion"/>
  <pageMargins left="0.75" right="0.75" top="1" bottom="1" header="0.5" footer="0.5"/>
  <pageSetup scale="93" orientation="landscape" horizontalDpi="300" verticalDpi="300" r:id="rId1"/>
  <headerFooter alignWithMargins="0"/>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showGridLines="0" workbookViewId="0">
      <selection activeCell="A6" sqref="A6"/>
    </sheetView>
  </sheetViews>
  <sheetFormatPr defaultRowHeight="12.75" x14ac:dyDescent="0.2"/>
  <cols>
    <col min="1" max="1" width="9.140625" style="35"/>
    <col min="2" max="11" width="12.28515625" style="35" customWidth="1"/>
    <col min="12" max="16384" width="9.140625" style="35"/>
  </cols>
  <sheetData>
    <row r="1" spans="1:11" s="7" customFormat="1" ht="25.5" customHeight="1" x14ac:dyDescent="0.4">
      <c r="D1" s="8">
        <f>'Start Page'!$C$85</f>
        <v>2009</v>
      </c>
      <c r="E1" s="9" t="s">
        <v>42</v>
      </c>
    </row>
    <row r="2" spans="1:11" s="7" customFormat="1" ht="25.5" customHeight="1" x14ac:dyDescent="0.4">
      <c r="D2" s="8"/>
      <c r="F2" s="97" t="s">
        <v>150</v>
      </c>
      <c r="G2" s="44" t="str">
        <f>'Start Page'!$J$13</f>
        <v>Rest of U.S.</v>
      </c>
    </row>
    <row r="3" spans="1:11" x14ac:dyDescent="0.2">
      <c r="E3" s="45"/>
      <c r="F3" s="46" t="s">
        <v>151</v>
      </c>
      <c r="G3" s="96">
        <f>IF(VLOOKUP('Start Page'!C46,'Locality Rates'!A2:C49,3,FALSE)=0,'Start Page'!C48,0)</f>
        <v>0.1386</v>
      </c>
      <c r="H3" s="47"/>
    </row>
    <row r="4" spans="1:11" x14ac:dyDescent="0.2">
      <c r="E4" s="45"/>
      <c r="F4" s="35" t="s">
        <v>152</v>
      </c>
      <c r="G4" s="47"/>
      <c r="H4" s="47"/>
    </row>
    <row r="5" spans="1:11" x14ac:dyDescent="0.2">
      <c r="E5" s="45"/>
      <c r="F5" s="113" t="str">
        <f>IF(D1='GS Pay Calculator'!B2,"","Warning! These pay figures are now estimates only!")</f>
        <v/>
      </c>
      <c r="G5" s="47"/>
      <c r="H5" s="47"/>
    </row>
    <row r="6" spans="1:11" ht="12.75" customHeight="1" x14ac:dyDescent="0.2">
      <c r="A6" s="48" t="s">
        <v>27</v>
      </c>
      <c r="B6" s="136" t="s">
        <v>28</v>
      </c>
      <c r="C6" s="137"/>
      <c r="D6" s="137"/>
      <c r="E6" s="137"/>
      <c r="F6" s="137"/>
      <c r="G6" s="137"/>
      <c r="H6" s="137"/>
      <c r="I6" s="137"/>
      <c r="J6" s="137"/>
      <c r="K6" s="137"/>
    </row>
    <row r="7" spans="1:11" x14ac:dyDescent="0.2">
      <c r="A7" s="49" t="s">
        <v>29</v>
      </c>
      <c r="B7" s="50">
        <v>1</v>
      </c>
      <c r="C7" s="50">
        <v>2</v>
      </c>
      <c r="D7" s="50">
        <v>3</v>
      </c>
      <c r="E7" s="50">
        <v>4</v>
      </c>
      <c r="F7" s="50">
        <v>5</v>
      </c>
      <c r="G7" s="50">
        <v>6</v>
      </c>
      <c r="H7" s="50">
        <v>7</v>
      </c>
      <c r="I7" s="50">
        <v>8</v>
      </c>
      <c r="J7" s="50">
        <v>9</v>
      </c>
      <c r="K7" s="50">
        <v>10</v>
      </c>
    </row>
    <row r="8" spans="1:11" x14ac:dyDescent="0.2">
      <c r="A8" s="51">
        <v>3</v>
      </c>
      <c r="B8" s="73">
        <f>IF('Special Rates'!B15=0,ROUND('GS Pay - No Locality'!B4+('GS Pay - No Locality'!B4*$G$3),0),'Special Rates'!B15)</f>
        <v>24499</v>
      </c>
      <c r="C8" s="73">
        <f>IF('Special Rates'!C15=0,ROUND('GS Pay - No Locality'!C4+('GS Pay - No Locality'!C4*$G$3),0),'Special Rates'!C15)</f>
        <v>25316</v>
      </c>
      <c r="D8" s="73">
        <f>IF('Special Rates'!D15=0,ROUND('GS Pay - No Locality'!D4+('GS Pay - No Locality'!D4*$G$3),0),'Special Rates'!D15)</f>
        <v>26132</v>
      </c>
      <c r="E8" s="73">
        <f>IF('Special Rates'!E15=0,ROUND('GS Pay - No Locality'!E4+('GS Pay - No Locality'!E4*$G$3),0),'Special Rates'!E15)</f>
        <v>26948</v>
      </c>
      <c r="F8" s="73">
        <f>IF('Special Rates'!F15=0,ROUND('GS Pay - No Locality'!F4+('GS Pay - No Locality'!F4*$G$3),0),'Special Rates'!F15)</f>
        <v>27765</v>
      </c>
      <c r="G8" s="73">
        <f>IF('Special Rates'!G15=0,ROUND('GS Pay - No Locality'!G4+('GS Pay - No Locality'!G4*$G$3),0),'Special Rates'!G15)</f>
        <v>28581</v>
      </c>
      <c r="H8" s="73">
        <f>IF('Special Rates'!H15=0,ROUND('GS Pay - No Locality'!H4+('GS Pay - No Locality'!H4*$G$3),0),'Special Rates'!H15)</f>
        <v>29398</v>
      </c>
      <c r="I8" s="73">
        <f>IF('Special Rates'!I15=0,ROUND('GS Pay - No Locality'!I4+('GS Pay - No Locality'!I4*$G$3),0),'Special Rates'!I15)</f>
        <v>30214</v>
      </c>
      <c r="J8" s="73">
        <f>IF('Special Rates'!J15=0,ROUND('GS Pay - No Locality'!J4+('GS Pay - No Locality'!J4*$G$3),0),'Special Rates'!J15)</f>
        <v>31030</v>
      </c>
      <c r="K8" s="73">
        <f>IF('Special Rates'!K15=0,ROUND('GS Pay - No Locality'!K4+('GS Pay - No Locality'!K4*$G$3),0),'Special Rates'!K15)</f>
        <v>31847</v>
      </c>
    </row>
    <row r="9" spans="1:11" x14ac:dyDescent="0.2">
      <c r="A9" s="51">
        <v>4</v>
      </c>
      <c r="B9" s="73">
        <f>IF('Special Rates'!B16=0,ROUND('GS Pay - No Locality'!B5+('GS Pay - No Locality'!B5*$G$3),0),'Special Rates'!B16)</f>
        <v>27504</v>
      </c>
      <c r="C9" s="73">
        <f>IF('Special Rates'!C16=0,ROUND('GS Pay - No Locality'!C5+('GS Pay - No Locality'!C5*$G$3),0),'Special Rates'!C16)</f>
        <v>28421</v>
      </c>
      <c r="D9" s="73">
        <f>IF('Special Rates'!D16=0,ROUND('GS Pay - No Locality'!D5+('GS Pay - No Locality'!D5*$G$3),0),'Special Rates'!D16)</f>
        <v>29337</v>
      </c>
      <c r="E9" s="73">
        <f>IF('Special Rates'!E16=0,ROUND('GS Pay - No Locality'!E5+('GS Pay - No Locality'!E5*$G$3),0),'Special Rates'!E16)</f>
        <v>30254</v>
      </c>
      <c r="F9" s="73">
        <f>IF('Special Rates'!F16=0,ROUND('GS Pay - No Locality'!F5+('GS Pay - No Locality'!F5*$G$3),0),'Special Rates'!F16)</f>
        <v>31170</v>
      </c>
      <c r="G9" s="73">
        <f>IF('Special Rates'!G16=0,ROUND('GS Pay - No Locality'!G5+('GS Pay - No Locality'!G5*$G$3),0),'Special Rates'!G16)</f>
        <v>32087</v>
      </c>
      <c r="H9" s="73">
        <f>IF('Special Rates'!H16=0,ROUND('GS Pay - No Locality'!H5+('GS Pay - No Locality'!H5*$G$3),0),'Special Rates'!H16)</f>
        <v>33003</v>
      </c>
      <c r="I9" s="73">
        <f>IF('Special Rates'!I16=0,ROUND('GS Pay - No Locality'!I5+('GS Pay - No Locality'!I5*$G$3),0),'Special Rates'!I16)</f>
        <v>33920</v>
      </c>
      <c r="J9" s="73">
        <f>IF('Special Rates'!J16=0,ROUND('GS Pay - No Locality'!J5+('GS Pay - No Locality'!J5*$G$3),0),'Special Rates'!J16)</f>
        <v>34837</v>
      </c>
      <c r="K9" s="73">
        <f>IF('Special Rates'!K16=0,ROUND('GS Pay - No Locality'!K5+('GS Pay - No Locality'!K5*$G$3),0),'Special Rates'!K16)</f>
        <v>35753</v>
      </c>
    </row>
    <row r="10" spans="1:11" x14ac:dyDescent="0.2">
      <c r="A10" s="51">
        <v>5</v>
      </c>
      <c r="B10" s="73">
        <f>IF('Special Rates'!B17=0,ROUND('GS Pay - No Locality'!B6+('GS Pay - No Locality'!B6*$G$3),0),'Special Rates'!B17)</f>
        <v>30772</v>
      </c>
      <c r="C10" s="73">
        <f>IF('Special Rates'!C17=0,ROUND('GS Pay - No Locality'!C6+('GS Pay - No Locality'!C6*$G$3),0),'Special Rates'!C17)</f>
        <v>31798</v>
      </c>
      <c r="D10" s="73">
        <f>IF('Special Rates'!D17=0,ROUND('GS Pay - No Locality'!D6+('GS Pay - No Locality'!D6*$G$3),0),'Special Rates'!D17)</f>
        <v>32824</v>
      </c>
      <c r="E10" s="73">
        <f>IF('Special Rates'!E17=0,ROUND('GS Pay - No Locality'!E6+('GS Pay - No Locality'!E6*$G$3),0),'Special Rates'!E17)</f>
        <v>33849</v>
      </c>
      <c r="F10" s="73">
        <f>IF('Special Rates'!F17=0,ROUND('GS Pay - No Locality'!F6+('GS Pay - No Locality'!F6*$G$3),0),'Special Rates'!F17)</f>
        <v>34875</v>
      </c>
      <c r="G10" s="73">
        <f>IF('Special Rates'!G17=0,ROUND('GS Pay - No Locality'!G6+('GS Pay - No Locality'!G6*$G$3),0),'Special Rates'!G17)</f>
        <v>35901</v>
      </c>
      <c r="H10" s="73">
        <f>IF('Special Rates'!H17=0,ROUND('GS Pay - No Locality'!H6+('GS Pay - No Locality'!H6*$G$3),0),'Special Rates'!H17)</f>
        <v>36927</v>
      </c>
      <c r="I10" s="73">
        <f>IF('Special Rates'!I17=0,ROUND('GS Pay - No Locality'!I6+('GS Pay - No Locality'!I6*$G$3),0),'Special Rates'!I17)</f>
        <v>37953</v>
      </c>
      <c r="J10" s="73">
        <f>IF('Special Rates'!J17=0,ROUND('GS Pay - No Locality'!J6+('GS Pay - No Locality'!J6*$G$3),0),'Special Rates'!J17)</f>
        <v>38979</v>
      </c>
      <c r="K10" s="73">
        <f>IF('Special Rates'!K17=0,ROUND('GS Pay - No Locality'!K6+('GS Pay - No Locality'!K6*$G$3),0),'Special Rates'!K17)</f>
        <v>40005</v>
      </c>
    </row>
    <row r="11" spans="1:11" x14ac:dyDescent="0.2">
      <c r="A11" s="51">
        <v>6</v>
      </c>
      <c r="B11" s="73">
        <f>IF('Special Rates'!B18=0,ROUND('GS Pay - No Locality'!B7+('GS Pay - No Locality'!B7*$G$3),0),'Special Rates'!B18)</f>
        <v>34300</v>
      </c>
      <c r="C11" s="73">
        <f>IF('Special Rates'!C18=0,ROUND('GS Pay - No Locality'!C7+('GS Pay - No Locality'!C7*$G$3),0),'Special Rates'!C18)</f>
        <v>35443</v>
      </c>
      <c r="D11" s="73">
        <f>IF('Special Rates'!D18=0,ROUND('GS Pay - No Locality'!D7+('GS Pay - No Locality'!D7*$G$3),0),'Special Rates'!D18)</f>
        <v>36587</v>
      </c>
      <c r="E11" s="73">
        <f>IF('Special Rates'!E18=0,ROUND('GS Pay - No Locality'!E7+('GS Pay - No Locality'!E7*$G$3),0),'Special Rates'!E18)</f>
        <v>37730</v>
      </c>
      <c r="F11" s="73">
        <f>IF('Special Rates'!F18=0,ROUND('GS Pay - No Locality'!F7+('GS Pay - No Locality'!F7*$G$3),0),'Special Rates'!F18)</f>
        <v>38873</v>
      </c>
      <c r="G11" s="73">
        <f>IF('Special Rates'!G18=0,ROUND('GS Pay - No Locality'!G7+('GS Pay - No Locality'!G7*$G$3),0),'Special Rates'!G18)</f>
        <v>40016</v>
      </c>
      <c r="H11" s="73">
        <f>IF('Special Rates'!H18=0,ROUND('GS Pay - No Locality'!H7+('GS Pay - No Locality'!H7*$G$3),0),'Special Rates'!H18)</f>
        <v>41159</v>
      </c>
      <c r="I11" s="73">
        <f>IF('Special Rates'!I18=0,ROUND('GS Pay - No Locality'!I7+('GS Pay - No Locality'!I7*$G$3),0),'Special Rates'!I18)</f>
        <v>42302</v>
      </c>
      <c r="J11" s="73">
        <f>IF('Special Rates'!J18=0,ROUND('GS Pay - No Locality'!J7+('GS Pay - No Locality'!J7*$G$3),0),'Special Rates'!J18)</f>
        <v>43446</v>
      </c>
      <c r="K11" s="73">
        <f>IF('Special Rates'!K18=0,ROUND('GS Pay - No Locality'!K7+('GS Pay - No Locality'!K7*$G$3),0),'Special Rates'!K18)</f>
        <v>44589</v>
      </c>
    </row>
    <row r="12" spans="1:11" x14ac:dyDescent="0.2">
      <c r="A12" s="51">
        <v>7</v>
      </c>
      <c r="B12" s="73">
        <f>IF('Special Rates'!B19=0,ROUND('GS Pay - No Locality'!B8+('GS Pay - No Locality'!B8*$G$3),0),'Special Rates'!B19)</f>
        <v>38117</v>
      </c>
      <c r="C12" s="73">
        <f>IF('Special Rates'!C19=0,ROUND('GS Pay - No Locality'!C8+('GS Pay - No Locality'!C8*$G$3),0),'Special Rates'!C19)</f>
        <v>39388</v>
      </c>
      <c r="D12" s="73">
        <f>IF('Special Rates'!D19=0,ROUND('GS Pay - No Locality'!D8+('GS Pay - No Locality'!D8*$G$3),0),'Special Rates'!D19)</f>
        <v>40658</v>
      </c>
      <c r="E12" s="73">
        <f>IF('Special Rates'!E19=0,ROUND('GS Pay - No Locality'!E8+('GS Pay - No Locality'!E8*$G$3),0),'Special Rates'!E19)</f>
        <v>41929</v>
      </c>
      <c r="F12" s="73">
        <f>IF('Special Rates'!F19=0,ROUND('GS Pay - No Locality'!F8+('GS Pay - No Locality'!F8*$G$3),0),'Special Rates'!F19)</f>
        <v>43200</v>
      </c>
      <c r="G12" s="73">
        <f>IF('Special Rates'!G19=0,ROUND('GS Pay - No Locality'!G8+('GS Pay - No Locality'!G8*$G$3),0),'Special Rates'!G19)</f>
        <v>44470</v>
      </c>
      <c r="H12" s="73">
        <f>IF('Special Rates'!H19=0,ROUND('GS Pay - No Locality'!H8+('GS Pay - No Locality'!H8*$G$3),0),'Special Rates'!H19)</f>
        <v>45741</v>
      </c>
      <c r="I12" s="73">
        <f>IF('Special Rates'!I19=0,ROUND('GS Pay - No Locality'!I8+('GS Pay - No Locality'!I8*$G$3),0),'Special Rates'!I19)</f>
        <v>47012</v>
      </c>
      <c r="J12" s="73">
        <f>IF('Special Rates'!J19=0,ROUND('GS Pay - No Locality'!J8+('GS Pay - No Locality'!J8*$G$3),0),'Special Rates'!J19)</f>
        <v>48282</v>
      </c>
      <c r="K12" s="73">
        <f>IF('Special Rates'!K19=0,ROUND('GS Pay - No Locality'!K8+('GS Pay - No Locality'!K8*$G$3),0),'Special Rates'!K19)</f>
        <v>49553</v>
      </c>
    </row>
    <row r="13" spans="1:11" x14ac:dyDescent="0.2">
      <c r="A13" s="51">
        <v>8</v>
      </c>
      <c r="B13" s="73">
        <f>IF('Special Rates'!B20=0,ROUND('GS Pay - No Locality'!B9+('GS Pay - No Locality'!B9*$G$3),0),'Special Rates'!B20)</f>
        <v>42214</v>
      </c>
      <c r="C13" s="73">
        <f>IF('Special Rates'!C20=0,ROUND('GS Pay - No Locality'!C9+('GS Pay - No Locality'!C9*$G$3),0),'Special Rates'!C20)</f>
        <v>43621</v>
      </c>
      <c r="D13" s="73">
        <f>IF('Special Rates'!D20=0,ROUND('GS Pay - No Locality'!D9+('GS Pay - No Locality'!D9*$G$3),0),'Special Rates'!D20)</f>
        <v>45028</v>
      </c>
      <c r="E13" s="73">
        <f>IF('Special Rates'!E20=0,ROUND('GS Pay - No Locality'!E9+('GS Pay - No Locality'!E9*$G$3),0),'Special Rates'!E20)</f>
        <v>46436</v>
      </c>
      <c r="F13" s="73">
        <f>IF('Special Rates'!F20=0,ROUND('GS Pay - No Locality'!F9+('GS Pay - No Locality'!F9*$G$3),0),'Special Rates'!F20)</f>
        <v>47843</v>
      </c>
      <c r="G13" s="73">
        <f>IF('Special Rates'!G20=0,ROUND('GS Pay - No Locality'!G9+('GS Pay - No Locality'!G9*$G$3),0),'Special Rates'!G20)</f>
        <v>49250</v>
      </c>
      <c r="H13" s="73">
        <f>IF('Special Rates'!H20=0,ROUND('GS Pay - No Locality'!H9+('GS Pay - No Locality'!H9*$G$3),0),'Special Rates'!H20)</f>
        <v>50657</v>
      </c>
      <c r="I13" s="73">
        <f>IF('Special Rates'!I20=0,ROUND('GS Pay - No Locality'!I9+('GS Pay - No Locality'!I9*$G$3),0),'Special Rates'!I20)</f>
        <v>52065</v>
      </c>
      <c r="J13" s="73">
        <f>IF('Special Rates'!J20=0,ROUND('GS Pay - No Locality'!J9+('GS Pay - No Locality'!J9*$G$3),0),'Special Rates'!J20)</f>
        <v>53472</v>
      </c>
      <c r="K13" s="73">
        <f>IF('Special Rates'!K20=0,ROUND('GS Pay - No Locality'!K9+('GS Pay - No Locality'!K9*$G$3),0),'Special Rates'!K20)</f>
        <v>54879</v>
      </c>
    </row>
    <row r="14" spans="1:11" x14ac:dyDescent="0.2">
      <c r="A14" s="51">
        <v>9</v>
      </c>
      <c r="B14" s="73">
        <f>IF('Special Rates'!B21=0,ROUND('GS Pay - No Locality'!B10+('GS Pay - No Locality'!B10*$G$3),0),'Special Rates'!B21)</f>
        <v>46625</v>
      </c>
      <c r="C14" s="73">
        <f>IF('Special Rates'!C21=0,ROUND('GS Pay - No Locality'!C10+('GS Pay - No Locality'!C10*$G$3),0),'Special Rates'!C21)</f>
        <v>48179</v>
      </c>
      <c r="D14" s="73">
        <f>IF('Special Rates'!D21=0,ROUND('GS Pay - No Locality'!D10+('GS Pay - No Locality'!D10*$G$3),0),'Special Rates'!D21)</f>
        <v>49733</v>
      </c>
      <c r="E14" s="73">
        <f>IF('Special Rates'!E21=0,ROUND('GS Pay - No Locality'!E10+('GS Pay - No Locality'!E10*$G$3),0),'Special Rates'!E21)</f>
        <v>51287</v>
      </c>
      <c r="F14" s="73">
        <f>IF('Special Rates'!F21=0,ROUND('GS Pay - No Locality'!F10+('GS Pay - No Locality'!F10*$G$3),0),'Special Rates'!F21)</f>
        <v>52841</v>
      </c>
      <c r="G14" s="73">
        <f>IF('Special Rates'!G21=0,ROUND('GS Pay - No Locality'!G10+('GS Pay - No Locality'!G10*$G$3),0),'Special Rates'!G21)</f>
        <v>54395</v>
      </c>
      <c r="H14" s="73">
        <f>IF('Special Rates'!H21=0,ROUND('GS Pay - No Locality'!H10+('GS Pay - No Locality'!H10*$G$3),0),'Special Rates'!H21)</f>
        <v>55950</v>
      </c>
      <c r="I14" s="73">
        <f>IF('Special Rates'!I21=0,ROUND('GS Pay - No Locality'!I10+('GS Pay - No Locality'!I10*$G$3),0),'Special Rates'!I21)</f>
        <v>57504</v>
      </c>
      <c r="J14" s="73">
        <f>IF('Special Rates'!J21=0,ROUND('GS Pay - No Locality'!J10+('GS Pay - No Locality'!J10*$G$3),0),'Special Rates'!J21)</f>
        <v>59058</v>
      </c>
      <c r="K14" s="73">
        <f>IF('Special Rates'!K21=0,ROUND('GS Pay - No Locality'!K10+('GS Pay - No Locality'!K10*$G$3),0),'Special Rates'!K21)</f>
        <v>60612</v>
      </c>
    </row>
    <row r="15" spans="1:11" x14ac:dyDescent="0.2">
      <c r="A15" s="51">
        <v>10</v>
      </c>
      <c r="B15" s="73">
        <f>IF('Special Rates'!B22=0,ROUND('GS Pay - No Locality'!B11+('GS Pay - No Locality'!B11*$G$3),0),'Special Rates'!B22)</f>
        <v>51345</v>
      </c>
      <c r="C15" s="73">
        <f>IF('Special Rates'!C22=0,ROUND('GS Pay - No Locality'!C11+('GS Pay - No Locality'!C11*$G$3),0),'Special Rates'!C22)</f>
        <v>53056</v>
      </c>
      <c r="D15" s="73">
        <f>IF('Special Rates'!D22=0,ROUND('GS Pay - No Locality'!D11+('GS Pay - No Locality'!D11*$G$3),0),'Special Rates'!D22)</f>
        <v>54768</v>
      </c>
      <c r="E15" s="73">
        <f>IF('Special Rates'!E22=0,ROUND('GS Pay - No Locality'!E11+('GS Pay - No Locality'!E11*$G$3),0),'Special Rates'!E22)</f>
        <v>56479</v>
      </c>
      <c r="F15" s="73">
        <f>IF('Special Rates'!F22=0,ROUND('GS Pay - No Locality'!F11+('GS Pay - No Locality'!F11*$G$3),0),'Special Rates'!F22)</f>
        <v>58190</v>
      </c>
      <c r="G15" s="73">
        <f>IF('Special Rates'!G22=0,ROUND('GS Pay - No Locality'!G11+('GS Pay - No Locality'!G11*$G$3),0),'Special Rates'!G22)</f>
        <v>59902</v>
      </c>
      <c r="H15" s="73">
        <f>IF('Special Rates'!H22=0,ROUND('GS Pay - No Locality'!H11+('GS Pay - No Locality'!H11*$G$3),0),'Special Rates'!H22)</f>
        <v>61613</v>
      </c>
      <c r="I15" s="73">
        <f>IF('Special Rates'!I22=0,ROUND('GS Pay - No Locality'!I11+('GS Pay - No Locality'!I11*$G$3),0),'Special Rates'!I22)</f>
        <v>63324</v>
      </c>
      <c r="J15" s="73">
        <f>IF('Special Rates'!J22=0,ROUND('GS Pay - No Locality'!J11+('GS Pay - No Locality'!J11*$G$3),0),'Special Rates'!J22)</f>
        <v>65036</v>
      </c>
      <c r="K15" s="73">
        <f>IF('Special Rates'!K22=0,ROUND('GS Pay - No Locality'!K11+('GS Pay - No Locality'!K11*$G$3),0),'Special Rates'!K22)</f>
        <v>66747</v>
      </c>
    </row>
    <row r="16" spans="1:11" x14ac:dyDescent="0.2">
      <c r="A16" s="51">
        <v>11</v>
      </c>
      <c r="B16" s="73">
        <f>IF('Special Rates'!B23=0,ROUND('GS Pay - No Locality'!B12+('GS Pay - No Locality'!B12*$G$3),0),'Special Rates'!B23)</f>
        <v>56411</v>
      </c>
      <c r="C16" s="73">
        <f>IF('Special Rates'!C23=0,ROUND('GS Pay - No Locality'!C12+('GS Pay - No Locality'!C12*$G$3),0),'Special Rates'!C23)</f>
        <v>58291</v>
      </c>
      <c r="D16" s="73">
        <f>IF('Special Rates'!D23=0,ROUND('GS Pay - No Locality'!D12+('GS Pay - No Locality'!D12*$G$3),0),'Special Rates'!D23)</f>
        <v>60170</v>
      </c>
      <c r="E16" s="73">
        <f>IF('Special Rates'!E23=0,ROUND('GS Pay - No Locality'!E12+('GS Pay - No Locality'!E12*$G$3),0),'Special Rates'!E23)</f>
        <v>62050</v>
      </c>
      <c r="F16" s="73">
        <f>IF('Special Rates'!F23=0,ROUND('GS Pay - No Locality'!F12+('GS Pay - No Locality'!F12*$G$3),0),'Special Rates'!F23)</f>
        <v>63930</v>
      </c>
      <c r="G16" s="73">
        <f>IF('Special Rates'!G23=0,ROUND('GS Pay - No Locality'!G12+('GS Pay - No Locality'!G12*$G$3),0),'Special Rates'!G23)</f>
        <v>65810</v>
      </c>
      <c r="H16" s="73">
        <f>IF('Special Rates'!H23=0,ROUND('GS Pay - No Locality'!H12+('GS Pay - No Locality'!H12*$G$3),0),'Special Rates'!H23)</f>
        <v>67690</v>
      </c>
      <c r="I16" s="73">
        <f>IF('Special Rates'!I23=0,ROUND('GS Pay - No Locality'!I12+('GS Pay - No Locality'!I12*$G$3),0),'Special Rates'!I23)</f>
        <v>69570</v>
      </c>
      <c r="J16" s="73">
        <f>IF('Special Rates'!J23=0,ROUND('GS Pay - No Locality'!J12+('GS Pay - No Locality'!J12*$G$3),0),'Special Rates'!J23)</f>
        <v>71449</v>
      </c>
      <c r="K16" s="73">
        <f>IF('Special Rates'!K23=0,ROUND('GS Pay - No Locality'!K12+('GS Pay - No Locality'!K12*$G$3),0),'Special Rates'!K23)</f>
        <v>73329</v>
      </c>
    </row>
    <row r="17" spans="1:11" x14ac:dyDescent="0.2">
      <c r="A17" s="51">
        <v>12</v>
      </c>
      <c r="B17" s="73">
        <f>IF('Special Rates'!B24=0,ROUND('GS Pay - No Locality'!B13+('GS Pay - No Locality'!B13*$G$3),0),'Special Rates'!B24)</f>
        <v>67613</v>
      </c>
      <c r="C17" s="73">
        <f>IF('Special Rates'!C24=0,ROUND('GS Pay - No Locality'!C13+('GS Pay - No Locality'!C13*$G$3),0),'Special Rates'!C24)</f>
        <v>69867</v>
      </c>
      <c r="D17" s="73">
        <f>IF('Special Rates'!D24=0,ROUND('GS Pay - No Locality'!D13+('GS Pay - No Locality'!D13*$G$3),0),'Special Rates'!D24)</f>
        <v>72120</v>
      </c>
      <c r="E17" s="73">
        <f>IF('Special Rates'!E24=0,ROUND('GS Pay - No Locality'!E13+('GS Pay - No Locality'!E13*$G$3),0),'Special Rates'!E24)</f>
        <v>74373</v>
      </c>
      <c r="F17" s="73">
        <f>IF('Special Rates'!F24=0,ROUND('GS Pay - No Locality'!F13+('GS Pay - No Locality'!F13*$G$3),0),'Special Rates'!F24)</f>
        <v>76627</v>
      </c>
      <c r="G17" s="73">
        <f>IF('Special Rates'!G24=0,ROUND('GS Pay - No Locality'!G13+('GS Pay - No Locality'!G13*$G$3),0),'Special Rates'!G24)</f>
        <v>78880</v>
      </c>
      <c r="H17" s="73">
        <f>IF('Special Rates'!H24=0,ROUND('GS Pay - No Locality'!H13+('GS Pay - No Locality'!H13*$G$3),0),'Special Rates'!H24)</f>
        <v>81133</v>
      </c>
      <c r="I17" s="73">
        <f>IF('Special Rates'!I24=0,ROUND('GS Pay - No Locality'!I13+('GS Pay - No Locality'!I13*$G$3),0),'Special Rates'!I24)</f>
        <v>83387</v>
      </c>
      <c r="J17" s="73">
        <f>IF('Special Rates'!J24=0,ROUND('GS Pay - No Locality'!J13+('GS Pay - No Locality'!J13*$G$3),0),'Special Rates'!J24)</f>
        <v>85640</v>
      </c>
      <c r="K17" s="73">
        <f>IF('Special Rates'!K24=0,ROUND('GS Pay - No Locality'!K13+('GS Pay - No Locality'!K13*$G$3),0),'Special Rates'!K24)</f>
        <v>87893</v>
      </c>
    </row>
    <row r="18" spans="1:11" x14ac:dyDescent="0.2">
      <c r="A18" s="51">
        <v>13</v>
      </c>
      <c r="B18" s="73">
        <f>IF('Special Rates'!B25=0,ROUND('GS Pay - No Locality'!B14+('GS Pay - No Locality'!B14*$G$3),0),'Special Rates'!B25)</f>
        <v>80402</v>
      </c>
      <c r="C18" s="73">
        <f>IF('Special Rates'!C25=0,ROUND('GS Pay - No Locality'!C14+('GS Pay - No Locality'!C14*$G$3),0),'Special Rates'!C25)</f>
        <v>83083</v>
      </c>
      <c r="D18" s="73">
        <f>IF('Special Rates'!D25=0,ROUND('GS Pay - No Locality'!D14+('GS Pay - No Locality'!D14*$G$3),0),'Special Rates'!D25)</f>
        <v>85763</v>
      </c>
      <c r="E18" s="73">
        <f>IF('Special Rates'!E25=0,ROUND('GS Pay - No Locality'!E14+('GS Pay - No Locality'!E14*$G$3),0),'Special Rates'!E25)</f>
        <v>88443</v>
      </c>
      <c r="F18" s="73">
        <f>IF('Special Rates'!F25=0,ROUND('GS Pay - No Locality'!F14+('GS Pay - No Locality'!F14*$G$3),0),'Special Rates'!F25)</f>
        <v>91123</v>
      </c>
      <c r="G18" s="73">
        <f>IF('Special Rates'!G25=0,ROUND('GS Pay - No Locality'!G14+('GS Pay - No Locality'!G14*$G$3),0),'Special Rates'!G25)</f>
        <v>93804</v>
      </c>
      <c r="H18" s="73">
        <f>IF('Special Rates'!H25=0,ROUND('GS Pay - No Locality'!H14+('GS Pay - No Locality'!H14*$G$3),0),'Special Rates'!H25)</f>
        <v>96484</v>
      </c>
      <c r="I18" s="73">
        <f>IF('Special Rates'!I25=0,ROUND('GS Pay - No Locality'!I14+('GS Pay - No Locality'!I14*$G$3),0),'Special Rates'!I25)</f>
        <v>99164</v>
      </c>
      <c r="J18" s="73">
        <f>IF('Special Rates'!J25=0,ROUND('GS Pay - No Locality'!J14+('GS Pay - No Locality'!J14*$G$3),0),'Special Rates'!J25)</f>
        <v>101844</v>
      </c>
      <c r="K18" s="73">
        <f>IF('Special Rates'!K25=0,ROUND('GS Pay - No Locality'!K14+('GS Pay - No Locality'!K14*$G$3),0),'Special Rates'!K25)</f>
        <v>104525</v>
      </c>
    </row>
    <row r="19" spans="1:11" x14ac:dyDescent="0.2">
      <c r="A19" s="30"/>
    </row>
    <row r="20" spans="1:11" x14ac:dyDescent="0.2">
      <c r="A20" s="30" t="s">
        <v>69</v>
      </c>
      <c r="E20" s="45"/>
      <c r="G20" s="47"/>
    </row>
    <row r="21" spans="1:11" x14ac:dyDescent="0.2">
      <c r="A21" s="11" t="s">
        <v>64</v>
      </c>
      <c r="B21" s="7"/>
      <c r="C21" s="7"/>
      <c r="D21" s="7"/>
      <c r="E21" s="7"/>
      <c r="F21" s="7"/>
      <c r="G21" s="7"/>
      <c r="H21" s="7"/>
      <c r="I21" s="7"/>
      <c r="J21" s="7"/>
      <c r="K21" s="7"/>
    </row>
    <row r="22" spans="1:11" ht="12.75" customHeight="1" x14ac:dyDescent="0.2">
      <c r="A22" s="7"/>
      <c r="B22" s="7"/>
      <c r="C22" s="7"/>
      <c r="D22" s="7"/>
      <c r="E22" s="7"/>
      <c r="F22" s="7"/>
      <c r="G22" s="7"/>
      <c r="H22" s="7"/>
      <c r="I22" s="7"/>
      <c r="J22" s="7"/>
      <c r="K22" s="7"/>
    </row>
    <row r="23" spans="1:11" x14ac:dyDescent="0.2">
      <c r="A23" s="116" t="s">
        <v>175</v>
      </c>
      <c r="B23" s="7"/>
      <c r="C23" s="7"/>
      <c r="D23" s="7"/>
      <c r="E23" s="7"/>
      <c r="F23" s="7"/>
      <c r="G23" s="7"/>
      <c r="H23" s="7"/>
      <c r="I23" s="7"/>
      <c r="J23" s="7"/>
      <c r="K23" s="7"/>
    </row>
    <row r="24" spans="1:11" x14ac:dyDescent="0.2">
      <c r="A24" s="7"/>
      <c r="B24" s="7"/>
      <c r="C24" s="7"/>
      <c r="D24" s="7"/>
      <c r="E24" s="7"/>
      <c r="F24" s="7"/>
      <c r="G24" s="7"/>
      <c r="H24" s="7"/>
      <c r="I24" s="7"/>
      <c r="J24" s="7"/>
      <c r="K24" s="7"/>
    </row>
    <row r="25" spans="1:11" x14ac:dyDescent="0.2">
      <c r="A25" s="7"/>
      <c r="B25" s="7"/>
      <c r="C25" s="7"/>
      <c r="D25" s="7"/>
      <c r="E25" s="7"/>
      <c r="F25" s="7"/>
      <c r="G25" s="7"/>
      <c r="H25" s="7"/>
      <c r="I25" s="7"/>
      <c r="J25" s="7"/>
      <c r="K25" s="7"/>
    </row>
    <row r="26" spans="1:11" x14ac:dyDescent="0.2">
      <c r="A26" s="7"/>
      <c r="B26" s="7"/>
      <c r="C26" s="7"/>
      <c r="D26" s="7"/>
      <c r="E26" s="7"/>
      <c r="F26" s="7"/>
      <c r="G26" s="7"/>
      <c r="H26" s="7"/>
      <c r="I26" s="7"/>
      <c r="J26" s="7"/>
      <c r="K26" s="7"/>
    </row>
    <row r="27" spans="1:11" x14ac:dyDescent="0.2">
      <c r="A27" s="7"/>
      <c r="B27" s="7"/>
      <c r="C27" s="7"/>
      <c r="D27" s="7"/>
      <c r="E27" s="7"/>
      <c r="F27" s="7"/>
      <c r="G27" s="7"/>
      <c r="H27" s="7"/>
      <c r="I27" s="7"/>
      <c r="J27" s="7"/>
      <c r="K27" s="7"/>
    </row>
    <row r="28" spans="1:11" x14ac:dyDescent="0.2">
      <c r="A28" s="7"/>
      <c r="B28" s="7"/>
      <c r="C28" s="7"/>
      <c r="D28" s="7"/>
      <c r="E28" s="7"/>
      <c r="F28" s="7"/>
      <c r="G28" s="7"/>
      <c r="H28" s="7"/>
      <c r="I28" s="7"/>
      <c r="J28" s="7"/>
      <c r="K28" s="7"/>
    </row>
    <row r="29" spans="1:11" x14ac:dyDescent="0.2">
      <c r="A29" s="7"/>
      <c r="B29" s="7"/>
      <c r="C29" s="7"/>
      <c r="D29" s="7"/>
      <c r="E29" s="7"/>
      <c r="F29" s="7"/>
      <c r="G29" s="7"/>
      <c r="H29" s="7"/>
      <c r="I29" s="7"/>
      <c r="J29" s="7"/>
      <c r="K29" s="7"/>
    </row>
    <row r="30" spans="1:11" x14ac:dyDescent="0.2">
      <c r="A30" s="7"/>
      <c r="B30" s="7"/>
      <c r="C30" s="7"/>
      <c r="D30" s="7"/>
      <c r="E30" s="7"/>
      <c r="F30" s="7"/>
      <c r="G30" s="7"/>
      <c r="H30" s="7"/>
      <c r="I30" s="7"/>
      <c r="J30" s="7"/>
      <c r="K30" s="7"/>
    </row>
    <row r="31" spans="1:11" x14ac:dyDescent="0.2">
      <c r="A31" s="7"/>
      <c r="B31" s="7"/>
      <c r="C31" s="7"/>
      <c r="D31" s="7"/>
      <c r="E31" s="7"/>
      <c r="F31" s="7"/>
      <c r="G31" s="7"/>
      <c r="H31" s="7"/>
      <c r="I31" s="7"/>
      <c r="J31" s="7"/>
      <c r="K31" s="7"/>
    </row>
    <row r="32" spans="1:11" x14ac:dyDescent="0.2">
      <c r="A32" s="7"/>
      <c r="B32" s="7"/>
      <c r="C32" s="7"/>
      <c r="D32" s="7"/>
      <c r="E32" s="7"/>
      <c r="F32" s="7"/>
      <c r="G32" s="7"/>
      <c r="H32" s="7"/>
      <c r="I32" s="7"/>
      <c r="J32" s="7"/>
      <c r="K32" s="7"/>
    </row>
    <row r="33" spans="1:11" x14ac:dyDescent="0.2">
      <c r="A33" s="7"/>
      <c r="B33" s="7"/>
      <c r="C33" s="7"/>
      <c r="D33" s="7"/>
      <c r="E33" s="7"/>
      <c r="F33" s="7"/>
      <c r="G33" s="7"/>
      <c r="H33" s="7"/>
      <c r="I33" s="7"/>
      <c r="J33" s="7"/>
      <c r="K33" s="7"/>
    </row>
    <row r="34" spans="1:11" x14ac:dyDescent="0.2">
      <c r="A34" s="7"/>
      <c r="B34" s="7"/>
      <c r="C34" s="7"/>
      <c r="D34" s="7"/>
      <c r="E34" s="7"/>
      <c r="F34" s="7"/>
      <c r="G34" s="7"/>
      <c r="H34" s="7"/>
      <c r="I34" s="7"/>
      <c r="J34" s="7"/>
      <c r="K34" s="7"/>
    </row>
  </sheetData>
  <sheetProtection password="CCE4" sheet="1" objects="1" scenarios="1"/>
  <mergeCells count="1">
    <mergeCell ref="B6:K6"/>
  </mergeCells>
  <phoneticPr fontId="0" type="noConversion"/>
  <printOptions horizontalCentered="1"/>
  <pageMargins left="0.75" right="0.75" top="1" bottom="1" header="0.5" footer="0.5"/>
  <pageSetup scale="93"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18"/>
  <sheetViews>
    <sheetView showGridLines="0" zoomScaleNormal="100" workbookViewId="0">
      <pane ySplit="5" topLeftCell="A6" activePane="bottomLeft" state="frozen"/>
      <selection pane="bottomLeft" activeCell="A5" sqref="A5"/>
    </sheetView>
  </sheetViews>
  <sheetFormatPr defaultRowHeight="12.75" x14ac:dyDescent="0.2"/>
  <cols>
    <col min="1" max="2" width="7.140625" style="7" customWidth="1"/>
    <col min="3" max="3" width="13.85546875" style="7" customWidth="1"/>
    <col min="4" max="13" width="12.7109375" style="7" customWidth="1"/>
    <col min="14" max="16384" width="9.140625" style="7"/>
  </cols>
  <sheetData>
    <row r="1" spans="1:13" ht="25.5" customHeight="1" x14ac:dyDescent="0.4">
      <c r="E1" s="8">
        <f>'Start Page'!$C$85</f>
        <v>2009</v>
      </c>
      <c r="F1" s="9" t="s">
        <v>40</v>
      </c>
    </row>
    <row r="2" spans="1:13" ht="25.5" customHeight="1" x14ac:dyDescent="0.4">
      <c r="E2" s="8"/>
      <c r="G2" s="98" t="s">
        <v>150</v>
      </c>
      <c r="H2" s="10" t="str">
        <f>'Start Page'!$J$13</f>
        <v>Rest of U.S.</v>
      </c>
    </row>
    <row r="3" spans="1:13" ht="25.5" customHeight="1" x14ac:dyDescent="0.4">
      <c r="G3" s="8">
        <f>'Start Page'!F15</f>
        <v>72</v>
      </c>
      <c r="H3" s="9" t="s">
        <v>46</v>
      </c>
    </row>
    <row r="4" spans="1:13" ht="12.75" customHeight="1" x14ac:dyDescent="0.2">
      <c r="H4" s="113" t="str">
        <f>IF(E1='GS Pay Calculator'!B2,"","Warning! These pay figures are now estimates only!")</f>
        <v/>
      </c>
      <c r="I4" s="114"/>
      <c r="J4" s="114"/>
    </row>
    <row r="5" spans="1:13" x14ac:dyDescent="0.2">
      <c r="A5" s="12" t="s">
        <v>0</v>
      </c>
      <c r="B5" s="12" t="s">
        <v>49</v>
      </c>
      <c r="C5" s="12" t="s">
        <v>1</v>
      </c>
      <c r="D5" s="12" t="s">
        <v>2</v>
      </c>
      <c r="E5" s="12" t="s">
        <v>3</v>
      </c>
      <c r="F5" s="12" t="s">
        <v>4</v>
      </c>
      <c r="G5" s="12" t="s">
        <v>5</v>
      </c>
      <c r="H5" s="12" t="s">
        <v>6</v>
      </c>
      <c r="I5" s="12" t="s">
        <v>7</v>
      </c>
      <c r="J5" s="12" t="s">
        <v>8</v>
      </c>
      <c r="K5" s="12" t="s">
        <v>9</v>
      </c>
      <c r="L5" s="12" t="s">
        <v>10</v>
      </c>
      <c r="M5" s="12" t="s">
        <v>11</v>
      </c>
    </row>
    <row r="6" spans="1:13" x14ac:dyDescent="0.2">
      <c r="A6" s="13"/>
      <c r="B6" s="13"/>
      <c r="C6" s="14" t="s">
        <v>30</v>
      </c>
      <c r="D6" s="15">
        <f>'GS Pay Scale'!B8</f>
        <v>24499</v>
      </c>
      <c r="E6" s="15">
        <f>'GS Pay Scale'!C8</f>
        <v>25316</v>
      </c>
      <c r="F6" s="15">
        <f>'GS Pay Scale'!D8</f>
        <v>26132</v>
      </c>
      <c r="G6" s="15">
        <f>'GS Pay Scale'!E8</f>
        <v>26948</v>
      </c>
      <c r="H6" s="15">
        <f>'GS Pay Scale'!F8</f>
        <v>27765</v>
      </c>
      <c r="I6" s="15">
        <f>'GS Pay Scale'!G8</f>
        <v>28581</v>
      </c>
      <c r="J6" s="15">
        <f>'GS Pay Scale'!H8</f>
        <v>29398</v>
      </c>
      <c r="K6" s="15">
        <f>'GS Pay Scale'!I8</f>
        <v>30214</v>
      </c>
      <c r="L6" s="15">
        <f>'GS Pay Scale'!J8</f>
        <v>31030</v>
      </c>
      <c r="M6" s="15">
        <f>'GS Pay Scale'!K8</f>
        <v>31847</v>
      </c>
    </row>
    <row r="7" spans="1:13" x14ac:dyDescent="0.2">
      <c r="A7" s="13"/>
      <c r="B7" s="13">
        <v>106</v>
      </c>
      <c r="C7" s="16" t="s">
        <v>47</v>
      </c>
      <c r="D7" s="17">
        <f t="shared" ref="D7:M7" si="0">D8*106</f>
        <v>942.34</v>
      </c>
      <c r="E7" s="17">
        <f t="shared" si="0"/>
        <v>974.14</v>
      </c>
      <c r="F7" s="17">
        <f t="shared" si="0"/>
        <v>1004.88</v>
      </c>
      <c r="G7" s="17">
        <f t="shared" si="0"/>
        <v>1036.6799999999998</v>
      </c>
      <c r="H7" s="17">
        <f t="shared" si="0"/>
        <v>1067.42</v>
      </c>
      <c r="I7" s="17">
        <f t="shared" si="0"/>
        <v>1099.22</v>
      </c>
      <c r="J7" s="17">
        <f t="shared" si="0"/>
        <v>1131.02</v>
      </c>
      <c r="K7" s="17">
        <f t="shared" si="0"/>
        <v>1161.76</v>
      </c>
      <c r="L7" s="17">
        <f t="shared" si="0"/>
        <v>1193.56</v>
      </c>
      <c r="M7" s="17">
        <f t="shared" si="0"/>
        <v>1225.3600000000001</v>
      </c>
    </row>
    <row r="8" spans="1:13" x14ac:dyDescent="0.2">
      <c r="A8" s="13"/>
      <c r="B8" s="13"/>
      <c r="C8" s="16" t="s">
        <v>13</v>
      </c>
      <c r="D8" s="17">
        <f t="shared" ref="D8:M8" si="1">ROUND(D6/2756,2)</f>
        <v>8.89</v>
      </c>
      <c r="E8" s="17">
        <f t="shared" si="1"/>
        <v>9.19</v>
      </c>
      <c r="F8" s="17">
        <f t="shared" si="1"/>
        <v>9.48</v>
      </c>
      <c r="G8" s="17">
        <f t="shared" si="1"/>
        <v>9.7799999999999994</v>
      </c>
      <c r="H8" s="17">
        <f t="shared" si="1"/>
        <v>10.07</v>
      </c>
      <c r="I8" s="17">
        <f t="shared" si="1"/>
        <v>10.37</v>
      </c>
      <c r="J8" s="17">
        <f t="shared" si="1"/>
        <v>10.67</v>
      </c>
      <c r="K8" s="17">
        <f t="shared" si="1"/>
        <v>10.96</v>
      </c>
      <c r="L8" s="17">
        <f t="shared" si="1"/>
        <v>11.26</v>
      </c>
      <c r="M8" s="17">
        <f t="shared" si="1"/>
        <v>11.56</v>
      </c>
    </row>
    <row r="9" spans="1:13" x14ac:dyDescent="0.2">
      <c r="A9" s="18"/>
      <c r="B9" s="19">
        <f>($G$3-53)*2</f>
        <v>38</v>
      </c>
      <c r="C9" s="16" t="s">
        <v>48</v>
      </c>
      <c r="D9" s="17">
        <f>D10*$B$9</f>
        <v>506.92</v>
      </c>
      <c r="E9" s="17">
        <f>E10*$B$9</f>
        <v>524.02</v>
      </c>
      <c r="F9" s="17">
        <f t="shared" ref="F9:M9" si="2">F10*$B$9</f>
        <v>540.36</v>
      </c>
      <c r="G9" s="17">
        <f t="shared" si="2"/>
        <v>557.46</v>
      </c>
      <c r="H9" s="17">
        <f t="shared" si="2"/>
        <v>574.17999999999995</v>
      </c>
      <c r="I9" s="17">
        <f t="shared" si="2"/>
        <v>591.28</v>
      </c>
      <c r="J9" s="17">
        <f t="shared" si="2"/>
        <v>608.38000000000011</v>
      </c>
      <c r="K9" s="17">
        <f t="shared" si="2"/>
        <v>624.72</v>
      </c>
      <c r="L9" s="17">
        <f t="shared" si="2"/>
        <v>641.82000000000005</v>
      </c>
      <c r="M9" s="17">
        <f t="shared" si="2"/>
        <v>658.92</v>
      </c>
    </row>
    <row r="10" spans="1:13" x14ac:dyDescent="0.2">
      <c r="A10" s="13" t="s">
        <v>22</v>
      </c>
      <c r="B10" s="13"/>
      <c r="C10" s="16" t="s">
        <v>14</v>
      </c>
      <c r="D10" s="17">
        <f>IF(ROUND(D8*1.5,2)&lt;$G$116,ROUND(D8*1.5,2),IF($G$116&lt;D8,D8,$G$116))</f>
        <v>13.34</v>
      </c>
      <c r="E10" s="17">
        <f t="shared" ref="E10:M10" si="3">IF(ROUND(E8*1.5,2)&lt;$G$116,ROUND(E8*1.5,2),IF($G$116&lt;E8,E8,$G$116))</f>
        <v>13.79</v>
      </c>
      <c r="F10" s="17">
        <f t="shared" si="3"/>
        <v>14.22</v>
      </c>
      <c r="G10" s="17">
        <f t="shared" si="3"/>
        <v>14.67</v>
      </c>
      <c r="H10" s="17">
        <f t="shared" si="3"/>
        <v>15.11</v>
      </c>
      <c r="I10" s="17">
        <f t="shared" si="3"/>
        <v>15.56</v>
      </c>
      <c r="J10" s="17">
        <f t="shared" si="3"/>
        <v>16.010000000000002</v>
      </c>
      <c r="K10" s="17">
        <f t="shared" si="3"/>
        <v>16.440000000000001</v>
      </c>
      <c r="L10" s="17">
        <f t="shared" si="3"/>
        <v>16.89</v>
      </c>
      <c r="M10" s="17">
        <f t="shared" si="3"/>
        <v>17.34</v>
      </c>
    </row>
    <row r="11" spans="1:13" s="75" customFormat="1" x14ac:dyDescent="0.2">
      <c r="A11" s="74"/>
      <c r="B11" s="74"/>
      <c r="C11" s="36" t="s">
        <v>73</v>
      </c>
      <c r="D11" s="17">
        <f>IF(VLOOKUP('Start Page'!$C$46,'Locality Rates'!$A$2:$C$49,3,FALSE)=1,ROUND(D8*'Start Page'!$C$48,2)*$B$12,0)</f>
        <v>0</v>
      </c>
      <c r="E11" s="17">
        <f>IF(VLOOKUP('Start Page'!$C$46,'Locality Rates'!$A$2:$C$49,3,FALSE)=1,ROUND(E8*'Start Page'!$C$48,2)*$B$12,0)</f>
        <v>0</v>
      </c>
      <c r="F11" s="17">
        <f>IF(VLOOKUP('Start Page'!$C$46,'Locality Rates'!$A$2:$C$49,3,FALSE)=1,ROUND(F8*'Start Page'!$C$48,2)*$B$12,0)</f>
        <v>0</v>
      </c>
      <c r="G11" s="17">
        <f>IF(VLOOKUP('Start Page'!$C$46,'Locality Rates'!$A$2:$C$49,3,FALSE)=1,ROUND(G8*'Start Page'!$C$48,2)*$B$12,0)</f>
        <v>0</v>
      </c>
      <c r="H11" s="17">
        <f>IF(VLOOKUP('Start Page'!$C$46,'Locality Rates'!$A$2:$C$49,3,FALSE)=1,ROUND(H8*'Start Page'!$C$48,2)*$B$12,0)</f>
        <v>0</v>
      </c>
      <c r="I11" s="17">
        <f>IF(VLOOKUP('Start Page'!$C$46,'Locality Rates'!$A$2:$C$49,3,FALSE)=1,ROUND(I8*'Start Page'!$C$48,2)*$B$12,0)</f>
        <v>0</v>
      </c>
      <c r="J11" s="17">
        <f>IF(VLOOKUP('Start Page'!$C$46,'Locality Rates'!$A$2:$C$49,3,FALSE)=1,ROUND(J8*'Start Page'!$C$48,2)*$B$12,0)</f>
        <v>0</v>
      </c>
      <c r="K11" s="17">
        <f>IF(VLOOKUP('Start Page'!$C$46,'Locality Rates'!$A$2:$C$49,3,FALSE)=1,ROUND(K8*'Start Page'!$C$48,2)*$B$12,0)</f>
        <v>0</v>
      </c>
      <c r="L11" s="17">
        <f>IF(VLOOKUP('Start Page'!$C$46,'Locality Rates'!$A$2:$C$49,3,FALSE)=1,ROUND(L8*'Start Page'!$C$48,2)*$B$12,0)</f>
        <v>0</v>
      </c>
      <c r="M11" s="17">
        <f>IF(VLOOKUP('Start Page'!$C$46,'Locality Rates'!$A$2:$C$49,3,FALSE)=1,ROUND(M8*'Start Page'!$C$48,2)*$B$12,0)</f>
        <v>0</v>
      </c>
    </row>
    <row r="12" spans="1:13" x14ac:dyDescent="0.2">
      <c r="A12" s="13"/>
      <c r="B12" s="13">
        <f>B7+B9</f>
        <v>144</v>
      </c>
      <c r="C12" s="20" t="s">
        <v>17</v>
      </c>
      <c r="D12" s="21">
        <f>D7+D9+D11</f>
        <v>1449.26</v>
      </c>
      <c r="E12" s="21">
        <f t="shared" ref="E12:M12" si="4">E7+E9+E11</f>
        <v>1498.1599999999999</v>
      </c>
      <c r="F12" s="21">
        <f t="shared" si="4"/>
        <v>1545.24</v>
      </c>
      <c r="G12" s="21">
        <f t="shared" si="4"/>
        <v>1594.1399999999999</v>
      </c>
      <c r="H12" s="21">
        <f t="shared" si="4"/>
        <v>1641.6</v>
      </c>
      <c r="I12" s="21">
        <f t="shared" si="4"/>
        <v>1690.5</v>
      </c>
      <c r="J12" s="21">
        <f t="shared" si="4"/>
        <v>1739.4</v>
      </c>
      <c r="K12" s="21">
        <f t="shared" si="4"/>
        <v>1786.48</v>
      </c>
      <c r="L12" s="21">
        <f t="shared" si="4"/>
        <v>1835.38</v>
      </c>
      <c r="M12" s="21">
        <f t="shared" si="4"/>
        <v>1884.2800000000002</v>
      </c>
    </row>
    <row r="13" spans="1:13" x14ac:dyDescent="0.2">
      <c r="A13" s="13"/>
      <c r="B13" s="13"/>
      <c r="C13" s="20" t="s">
        <v>33</v>
      </c>
      <c r="D13" s="21">
        <f>D12*'Start Page'!$C$54</f>
        <v>37680.76</v>
      </c>
      <c r="E13" s="21">
        <f>E12*'Start Page'!$C$54</f>
        <v>38952.159999999996</v>
      </c>
      <c r="F13" s="21">
        <f>F12*'Start Page'!$C$54</f>
        <v>40176.239999999998</v>
      </c>
      <c r="G13" s="21">
        <f>G12*'Start Page'!$C$54</f>
        <v>41447.64</v>
      </c>
      <c r="H13" s="21">
        <f>H12*'Start Page'!$C$54</f>
        <v>42681.599999999999</v>
      </c>
      <c r="I13" s="21">
        <f>I12*'Start Page'!$C$54</f>
        <v>43953</v>
      </c>
      <c r="J13" s="21">
        <f>J12*'Start Page'!$C$54</f>
        <v>45224.4</v>
      </c>
      <c r="K13" s="21">
        <f>K12*'Start Page'!$C$54</f>
        <v>46448.480000000003</v>
      </c>
      <c r="L13" s="21">
        <f>L12*'Start Page'!$C$54</f>
        <v>47719.880000000005</v>
      </c>
      <c r="M13" s="21">
        <f>M12*'Start Page'!$C$54</f>
        <v>48991.280000000006</v>
      </c>
    </row>
    <row r="14" spans="1:13" s="26" customFormat="1" x14ac:dyDescent="0.2">
      <c r="A14" s="22"/>
      <c r="B14" s="22"/>
      <c r="C14" s="23" t="s">
        <v>166</v>
      </c>
      <c r="D14" s="24">
        <f>D8*$B$12*'Start Page'!$C$54</f>
        <v>33284.160000000003</v>
      </c>
      <c r="E14" s="24">
        <f>E8*$B$12*'Start Page'!$C$54</f>
        <v>34407.360000000001</v>
      </c>
      <c r="F14" s="24">
        <f>F8*$B$12*'Start Page'!$C$54</f>
        <v>35493.120000000003</v>
      </c>
      <c r="G14" s="24">
        <f>G8*$B$12*'Start Page'!$C$54</f>
        <v>36616.32</v>
      </c>
      <c r="H14" s="24">
        <f>H8*$B$12*'Start Page'!$C$54</f>
        <v>37702.080000000002</v>
      </c>
      <c r="I14" s="24">
        <f>I8*$B$12*'Start Page'!$C$54</f>
        <v>38825.279999999999</v>
      </c>
      <c r="J14" s="24">
        <f>J8*$B$12*'Start Page'!$C$54</f>
        <v>39948.480000000003</v>
      </c>
      <c r="K14" s="24">
        <f>K8*$B$12*'Start Page'!$C$54</f>
        <v>41034.240000000005</v>
      </c>
      <c r="L14" s="24">
        <f>L8*$B$12*'Start Page'!$C$54</f>
        <v>42157.440000000002</v>
      </c>
      <c r="M14" s="25">
        <f>M8*$B$12*'Start Page'!$C$54</f>
        <v>43280.639999999999</v>
      </c>
    </row>
    <row r="15" spans="1:13" x14ac:dyDescent="0.2">
      <c r="A15" s="27"/>
      <c r="B15" s="13"/>
      <c r="C15" s="14" t="s">
        <v>30</v>
      </c>
      <c r="D15" s="15">
        <f>'GS Pay Scale'!B9</f>
        <v>27504</v>
      </c>
      <c r="E15" s="15">
        <f>'GS Pay Scale'!C9</f>
        <v>28421</v>
      </c>
      <c r="F15" s="15">
        <f>'GS Pay Scale'!D9</f>
        <v>29337</v>
      </c>
      <c r="G15" s="15">
        <f>'GS Pay Scale'!E9</f>
        <v>30254</v>
      </c>
      <c r="H15" s="15">
        <f>'GS Pay Scale'!F9</f>
        <v>31170</v>
      </c>
      <c r="I15" s="15">
        <f>'GS Pay Scale'!G9</f>
        <v>32087</v>
      </c>
      <c r="J15" s="15">
        <f>'GS Pay Scale'!H9</f>
        <v>33003</v>
      </c>
      <c r="K15" s="15">
        <f>'GS Pay Scale'!I9</f>
        <v>33920</v>
      </c>
      <c r="L15" s="15">
        <f>'GS Pay Scale'!J9</f>
        <v>34837</v>
      </c>
      <c r="M15" s="15">
        <f>'GS Pay Scale'!K9</f>
        <v>35753</v>
      </c>
    </row>
    <row r="16" spans="1:13" x14ac:dyDescent="0.2">
      <c r="A16" s="13"/>
      <c r="B16" s="13">
        <v>106</v>
      </c>
      <c r="C16" s="16" t="s">
        <v>47</v>
      </c>
      <c r="D16" s="17">
        <f t="shared" ref="D16:M16" si="5">D17*106</f>
        <v>1057.8800000000001</v>
      </c>
      <c r="E16" s="17">
        <f t="shared" si="5"/>
        <v>1092.8600000000001</v>
      </c>
      <c r="F16" s="17">
        <f t="shared" si="5"/>
        <v>1127.8400000000001</v>
      </c>
      <c r="G16" s="17">
        <f t="shared" si="5"/>
        <v>1163.8800000000001</v>
      </c>
      <c r="H16" s="17">
        <f t="shared" si="5"/>
        <v>1198.8600000000001</v>
      </c>
      <c r="I16" s="17">
        <f t="shared" si="5"/>
        <v>1233.8400000000001</v>
      </c>
      <c r="J16" s="17">
        <f t="shared" si="5"/>
        <v>1268.8200000000002</v>
      </c>
      <c r="K16" s="17">
        <f t="shared" si="5"/>
        <v>1304.8600000000001</v>
      </c>
      <c r="L16" s="17">
        <f t="shared" si="5"/>
        <v>1339.8400000000001</v>
      </c>
      <c r="M16" s="17">
        <f t="shared" si="5"/>
        <v>1374.8200000000002</v>
      </c>
    </row>
    <row r="17" spans="1:13" x14ac:dyDescent="0.2">
      <c r="A17" s="13"/>
      <c r="B17" s="13"/>
      <c r="C17" s="16" t="s">
        <v>13</v>
      </c>
      <c r="D17" s="17">
        <f t="shared" ref="D17:M17" si="6">ROUND(D15/2756,2)</f>
        <v>9.98</v>
      </c>
      <c r="E17" s="17">
        <f t="shared" si="6"/>
        <v>10.31</v>
      </c>
      <c r="F17" s="17">
        <f t="shared" si="6"/>
        <v>10.64</v>
      </c>
      <c r="G17" s="17">
        <f t="shared" si="6"/>
        <v>10.98</v>
      </c>
      <c r="H17" s="17">
        <f t="shared" si="6"/>
        <v>11.31</v>
      </c>
      <c r="I17" s="17">
        <f t="shared" si="6"/>
        <v>11.64</v>
      </c>
      <c r="J17" s="17">
        <f t="shared" si="6"/>
        <v>11.97</v>
      </c>
      <c r="K17" s="17">
        <f t="shared" si="6"/>
        <v>12.31</v>
      </c>
      <c r="L17" s="17">
        <f t="shared" si="6"/>
        <v>12.64</v>
      </c>
      <c r="M17" s="17">
        <f t="shared" si="6"/>
        <v>12.97</v>
      </c>
    </row>
    <row r="18" spans="1:13" x14ac:dyDescent="0.2">
      <c r="A18" s="18"/>
      <c r="B18" s="19">
        <f>($G$3-53)*2</f>
        <v>38</v>
      </c>
      <c r="C18" s="16" t="s">
        <v>48</v>
      </c>
      <c r="D18" s="17">
        <f t="shared" ref="D18:M18" si="7">D19*$B$9</f>
        <v>568.86</v>
      </c>
      <c r="E18" s="17">
        <f t="shared" si="7"/>
        <v>587.86</v>
      </c>
      <c r="F18" s="17">
        <f t="shared" si="7"/>
        <v>606.48</v>
      </c>
      <c r="G18" s="17">
        <f t="shared" si="7"/>
        <v>625.8599999999999</v>
      </c>
      <c r="H18" s="17">
        <f t="shared" si="7"/>
        <v>644.8599999999999</v>
      </c>
      <c r="I18" s="17">
        <f t="shared" si="7"/>
        <v>663.48</v>
      </c>
      <c r="J18" s="17">
        <f t="shared" si="7"/>
        <v>682.48</v>
      </c>
      <c r="K18" s="17">
        <f t="shared" si="7"/>
        <v>701.8599999999999</v>
      </c>
      <c r="L18" s="17">
        <f t="shared" si="7"/>
        <v>720.48</v>
      </c>
      <c r="M18" s="17">
        <f t="shared" si="7"/>
        <v>739.48</v>
      </c>
    </row>
    <row r="19" spans="1:13" x14ac:dyDescent="0.2">
      <c r="A19" s="13" t="s">
        <v>23</v>
      </c>
      <c r="B19" s="13"/>
      <c r="C19" s="16" t="s">
        <v>14</v>
      </c>
      <c r="D19" s="17">
        <f>IF(ROUND(D17*1.5,2)&lt;$G$116,ROUND(D17*1.5,2),IF($G$116&lt;D17,D17,$G$116))</f>
        <v>14.97</v>
      </c>
      <c r="E19" s="17">
        <f t="shared" ref="E19:M19" si="8">IF(ROUND(E17*1.5,2)&lt;$G$116,ROUND(E17*1.5,2),IF($G$116&lt;E17,E17,$G$116))</f>
        <v>15.47</v>
      </c>
      <c r="F19" s="17">
        <f t="shared" si="8"/>
        <v>15.96</v>
      </c>
      <c r="G19" s="17">
        <f t="shared" si="8"/>
        <v>16.47</v>
      </c>
      <c r="H19" s="17">
        <f t="shared" si="8"/>
        <v>16.97</v>
      </c>
      <c r="I19" s="17">
        <f t="shared" si="8"/>
        <v>17.46</v>
      </c>
      <c r="J19" s="17">
        <f t="shared" si="8"/>
        <v>17.96</v>
      </c>
      <c r="K19" s="17">
        <f t="shared" si="8"/>
        <v>18.47</v>
      </c>
      <c r="L19" s="17">
        <f t="shared" si="8"/>
        <v>18.96</v>
      </c>
      <c r="M19" s="17">
        <f t="shared" si="8"/>
        <v>19.46</v>
      </c>
    </row>
    <row r="20" spans="1:13" s="75" customFormat="1" x14ac:dyDescent="0.2">
      <c r="A20" s="74"/>
      <c r="B20" s="74"/>
      <c r="C20" s="36" t="s">
        <v>73</v>
      </c>
      <c r="D20" s="17">
        <f>IF(VLOOKUP('Start Page'!$C$46,'Locality Rates'!$A$2:$C$49,3,FALSE)=1,ROUND(D17*'Start Page'!$C$48,2)*$B$12,0)</f>
        <v>0</v>
      </c>
      <c r="E20" s="17">
        <f>IF(VLOOKUP('Start Page'!$C$46,'Locality Rates'!$A$2:$C$49,3,FALSE)=1,ROUND(E17*'Start Page'!$C$48,2)*$B$12,0)</f>
        <v>0</v>
      </c>
      <c r="F20" s="17">
        <f>IF(VLOOKUP('Start Page'!$C$46,'Locality Rates'!$A$2:$C$49,3,FALSE)=1,ROUND(F17*'Start Page'!$C$48,2)*$B$12,0)</f>
        <v>0</v>
      </c>
      <c r="G20" s="17">
        <f>IF(VLOOKUP('Start Page'!$C$46,'Locality Rates'!$A$2:$C$49,3,FALSE)=1,ROUND(G17*'Start Page'!$C$48,2)*$B$12,0)</f>
        <v>0</v>
      </c>
      <c r="H20" s="17">
        <f>IF(VLOOKUP('Start Page'!$C$46,'Locality Rates'!$A$2:$C$49,3,FALSE)=1,ROUND(H17*'Start Page'!$C$48,2)*$B$12,0)</f>
        <v>0</v>
      </c>
      <c r="I20" s="17">
        <f>IF(VLOOKUP('Start Page'!$C$46,'Locality Rates'!$A$2:$C$49,3,FALSE)=1,ROUND(I17*'Start Page'!$C$48,2)*$B$12,0)</f>
        <v>0</v>
      </c>
      <c r="J20" s="17">
        <f>IF(VLOOKUP('Start Page'!$C$46,'Locality Rates'!$A$2:$C$49,3,FALSE)=1,ROUND(J17*'Start Page'!$C$48,2)*$B$12,0)</f>
        <v>0</v>
      </c>
      <c r="K20" s="17">
        <f>IF(VLOOKUP('Start Page'!$C$46,'Locality Rates'!$A$2:$C$49,3,FALSE)=1,ROUND(K17*'Start Page'!$C$48,2)*$B$12,0)</f>
        <v>0</v>
      </c>
      <c r="L20" s="17">
        <f>IF(VLOOKUP('Start Page'!$C$46,'Locality Rates'!$A$2:$C$49,3,FALSE)=1,ROUND(L17*'Start Page'!$C$48,2)*$B$12,0)</f>
        <v>0</v>
      </c>
      <c r="M20" s="17">
        <f>IF(VLOOKUP('Start Page'!$C$46,'Locality Rates'!$A$2:$C$49,3,FALSE)=1,ROUND(M17*'Start Page'!$C$48,2)*$B$12,0)</f>
        <v>0</v>
      </c>
    </row>
    <row r="21" spans="1:13" x14ac:dyDescent="0.2">
      <c r="A21" s="13"/>
      <c r="B21" s="13">
        <f>B16+B18</f>
        <v>144</v>
      </c>
      <c r="C21" s="20" t="s">
        <v>17</v>
      </c>
      <c r="D21" s="21">
        <f t="shared" ref="D21:M21" si="9">D16+D18+D20</f>
        <v>1626.7400000000002</v>
      </c>
      <c r="E21" s="21">
        <f t="shared" si="9"/>
        <v>1680.7200000000003</v>
      </c>
      <c r="F21" s="21">
        <f t="shared" si="9"/>
        <v>1734.3200000000002</v>
      </c>
      <c r="G21" s="21">
        <f t="shared" si="9"/>
        <v>1789.74</v>
      </c>
      <c r="H21" s="21">
        <f t="shared" si="9"/>
        <v>1843.72</v>
      </c>
      <c r="I21" s="21">
        <f t="shared" si="9"/>
        <v>1897.3200000000002</v>
      </c>
      <c r="J21" s="21">
        <f t="shared" si="9"/>
        <v>1951.3000000000002</v>
      </c>
      <c r="K21" s="21">
        <f t="shared" si="9"/>
        <v>2006.72</v>
      </c>
      <c r="L21" s="21">
        <f t="shared" si="9"/>
        <v>2060.3200000000002</v>
      </c>
      <c r="M21" s="21">
        <f t="shared" si="9"/>
        <v>2114.3000000000002</v>
      </c>
    </row>
    <row r="22" spans="1:13" x14ac:dyDescent="0.2">
      <c r="A22" s="13"/>
      <c r="B22" s="13"/>
      <c r="C22" s="20" t="s">
        <v>33</v>
      </c>
      <c r="D22" s="21">
        <f>D21*'Start Page'!$C$54</f>
        <v>42295.240000000005</v>
      </c>
      <c r="E22" s="21">
        <f>E21*'Start Page'!$C$54</f>
        <v>43698.720000000008</v>
      </c>
      <c r="F22" s="21">
        <f>F21*'Start Page'!$C$54</f>
        <v>45092.320000000007</v>
      </c>
      <c r="G22" s="21">
        <f>G21*'Start Page'!$C$54</f>
        <v>46533.24</v>
      </c>
      <c r="H22" s="21">
        <f>H21*'Start Page'!$C$54</f>
        <v>47936.72</v>
      </c>
      <c r="I22" s="21">
        <f>I21*'Start Page'!$C$54</f>
        <v>49330.320000000007</v>
      </c>
      <c r="J22" s="21">
        <f>J21*'Start Page'!$C$54</f>
        <v>50733.8</v>
      </c>
      <c r="K22" s="21">
        <f>K21*'Start Page'!$C$54</f>
        <v>52174.720000000001</v>
      </c>
      <c r="L22" s="21">
        <f>L21*'Start Page'!$C$54</f>
        <v>53568.320000000007</v>
      </c>
      <c r="M22" s="21">
        <f>M21*'Start Page'!$C$54</f>
        <v>54971.8</v>
      </c>
    </row>
    <row r="23" spans="1:13" s="26" customFormat="1" x14ac:dyDescent="0.2">
      <c r="A23" s="22"/>
      <c r="B23" s="22"/>
      <c r="C23" s="23" t="s">
        <v>166</v>
      </c>
      <c r="D23" s="24">
        <f>D17*$B$12*'Start Page'!$C$54</f>
        <v>37365.120000000003</v>
      </c>
      <c r="E23" s="24">
        <f>E17*$B$12*'Start Page'!$C$54</f>
        <v>38600.639999999999</v>
      </c>
      <c r="F23" s="24">
        <f>F17*$B$12*'Start Page'!$C$54</f>
        <v>39836.160000000003</v>
      </c>
      <c r="G23" s="24">
        <f>G17*$B$12*'Start Page'!$C$54</f>
        <v>41109.120000000003</v>
      </c>
      <c r="H23" s="24">
        <f>H17*$B$12*'Start Page'!$C$54</f>
        <v>42344.639999999999</v>
      </c>
      <c r="I23" s="24">
        <f>I17*$B$12*'Start Page'!$C$54</f>
        <v>43580.160000000003</v>
      </c>
      <c r="J23" s="24">
        <f>J17*$B$12*'Start Page'!$C$54</f>
        <v>44815.68</v>
      </c>
      <c r="K23" s="24">
        <f>K17*$B$12*'Start Page'!$C$54</f>
        <v>46088.639999999999</v>
      </c>
      <c r="L23" s="24">
        <f>L17*$B$12*'Start Page'!$C$54</f>
        <v>47324.160000000003</v>
      </c>
      <c r="M23" s="25">
        <f>M17*$B$12*'Start Page'!$C$54</f>
        <v>48559.68</v>
      </c>
    </row>
    <row r="24" spans="1:13" x14ac:dyDescent="0.2">
      <c r="A24" s="27"/>
      <c r="B24" s="13"/>
      <c r="C24" s="14" t="s">
        <v>30</v>
      </c>
      <c r="D24" s="15">
        <f>'GS Pay Scale'!B10</f>
        <v>30772</v>
      </c>
      <c r="E24" s="15">
        <f>'GS Pay Scale'!C10</f>
        <v>31798</v>
      </c>
      <c r="F24" s="15">
        <f>'GS Pay Scale'!D10</f>
        <v>32824</v>
      </c>
      <c r="G24" s="15">
        <f>'GS Pay Scale'!E10</f>
        <v>33849</v>
      </c>
      <c r="H24" s="15">
        <f>'GS Pay Scale'!F10</f>
        <v>34875</v>
      </c>
      <c r="I24" s="15">
        <f>'GS Pay Scale'!G10</f>
        <v>35901</v>
      </c>
      <c r="J24" s="15">
        <f>'GS Pay Scale'!H10</f>
        <v>36927</v>
      </c>
      <c r="K24" s="15">
        <f>'GS Pay Scale'!I10</f>
        <v>37953</v>
      </c>
      <c r="L24" s="15">
        <f>'GS Pay Scale'!J10</f>
        <v>38979</v>
      </c>
      <c r="M24" s="15">
        <f>'GS Pay Scale'!K10</f>
        <v>40005</v>
      </c>
    </row>
    <row r="25" spans="1:13" x14ac:dyDescent="0.2">
      <c r="A25" s="13"/>
      <c r="B25" s="13">
        <v>106</v>
      </c>
      <c r="C25" s="16" t="s">
        <v>47</v>
      </c>
      <c r="D25" s="17">
        <f t="shared" ref="D25:M25" si="10">D26*106</f>
        <v>1184.02</v>
      </c>
      <c r="E25" s="17">
        <f t="shared" si="10"/>
        <v>1223.24</v>
      </c>
      <c r="F25" s="17">
        <f t="shared" si="10"/>
        <v>1262.46</v>
      </c>
      <c r="G25" s="17">
        <f t="shared" si="10"/>
        <v>1301.6799999999998</v>
      </c>
      <c r="H25" s="17">
        <f t="shared" si="10"/>
        <v>1340.9</v>
      </c>
      <c r="I25" s="17">
        <f t="shared" si="10"/>
        <v>1381.1799999999998</v>
      </c>
      <c r="J25" s="17">
        <f t="shared" si="10"/>
        <v>1420.4</v>
      </c>
      <c r="K25" s="17">
        <f t="shared" si="10"/>
        <v>1459.62</v>
      </c>
      <c r="L25" s="17">
        <f t="shared" si="10"/>
        <v>1498.8400000000001</v>
      </c>
      <c r="M25" s="17">
        <f t="shared" si="10"/>
        <v>1539.12</v>
      </c>
    </row>
    <row r="26" spans="1:13" x14ac:dyDescent="0.2">
      <c r="A26" s="13"/>
      <c r="B26" s="13"/>
      <c r="C26" s="16" t="s">
        <v>13</v>
      </c>
      <c r="D26" s="17">
        <f t="shared" ref="D26:M26" si="11">ROUND(D24/2756,2)</f>
        <v>11.17</v>
      </c>
      <c r="E26" s="17">
        <f t="shared" si="11"/>
        <v>11.54</v>
      </c>
      <c r="F26" s="17">
        <f t="shared" si="11"/>
        <v>11.91</v>
      </c>
      <c r="G26" s="17">
        <f t="shared" si="11"/>
        <v>12.28</v>
      </c>
      <c r="H26" s="17">
        <f t="shared" si="11"/>
        <v>12.65</v>
      </c>
      <c r="I26" s="17">
        <f t="shared" si="11"/>
        <v>13.03</v>
      </c>
      <c r="J26" s="17">
        <f t="shared" si="11"/>
        <v>13.4</v>
      </c>
      <c r="K26" s="17">
        <f t="shared" si="11"/>
        <v>13.77</v>
      </c>
      <c r="L26" s="17">
        <f t="shared" si="11"/>
        <v>14.14</v>
      </c>
      <c r="M26" s="17">
        <f t="shared" si="11"/>
        <v>14.52</v>
      </c>
    </row>
    <row r="27" spans="1:13" x14ac:dyDescent="0.2">
      <c r="A27" s="18"/>
      <c r="B27" s="19">
        <f>($G$3-53)*2</f>
        <v>38</v>
      </c>
      <c r="C27" s="16" t="s">
        <v>48</v>
      </c>
      <c r="D27" s="17">
        <f t="shared" ref="D27:M27" si="12">D28*$B$9</f>
        <v>636.88000000000011</v>
      </c>
      <c r="E27" s="17">
        <f t="shared" si="12"/>
        <v>657.78</v>
      </c>
      <c r="F27" s="17">
        <f t="shared" si="12"/>
        <v>679.06000000000006</v>
      </c>
      <c r="G27" s="17">
        <f t="shared" si="12"/>
        <v>699.96</v>
      </c>
      <c r="H27" s="17">
        <f t="shared" si="12"/>
        <v>721.24</v>
      </c>
      <c r="I27" s="17">
        <f t="shared" si="12"/>
        <v>742.9</v>
      </c>
      <c r="J27" s="17">
        <f t="shared" si="12"/>
        <v>763.80000000000007</v>
      </c>
      <c r="K27" s="17">
        <f t="shared" si="12"/>
        <v>785.08</v>
      </c>
      <c r="L27" s="17">
        <f t="shared" si="12"/>
        <v>805.98</v>
      </c>
      <c r="M27" s="17">
        <f t="shared" si="12"/>
        <v>827.6400000000001</v>
      </c>
    </row>
    <row r="28" spans="1:13" x14ac:dyDescent="0.2">
      <c r="A28" s="13" t="s">
        <v>24</v>
      </c>
      <c r="B28" s="13"/>
      <c r="C28" s="16" t="s">
        <v>14</v>
      </c>
      <c r="D28" s="17">
        <f>IF(ROUND(D26*1.5,2)&lt;$G$116,ROUND(D26*1.5,2),IF($G$116&lt;D26,D26,$G$116))</f>
        <v>16.760000000000002</v>
      </c>
      <c r="E28" s="17">
        <f t="shared" ref="E28:M28" si="13">IF(ROUND(E26*1.5,2)&lt;$G$116,ROUND(E26*1.5,2),IF($G$116&lt;E26,E26,$G$116))</f>
        <v>17.309999999999999</v>
      </c>
      <c r="F28" s="17">
        <f t="shared" si="13"/>
        <v>17.87</v>
      </c>
      <c r="G28" s="17">
        <f t="shared" si="13"/>
        <v>18.420000000000002</v>
      </c>
      <c r="H28" s="17">
        <f t="shared" si="13"/>
        <v>18.98</v>
      </c>
      <c r="I28" s="17">
        <f t="shared" si="13"/>
        <v>19.55</v>
      </c>
      <c r="J28" s="17">
        <f t="shared" si="13"/>
        <v>20.100000000000001</v>
      </c>
      <c r="K28" s="17">
        <f t="shared" si="13"/>
        <v>20.66</v>
      </c>
      <c r="L28" s="17">
        <f t="shared" si="13"/>
        <v>21.21</v>
      </c>
      <c r="M28" s="17">
        <f t="shared" si="13"/>
        <v>21.78</v>
      </c>
    </row>
    <row r="29" spans="1:13" s="75" customFormat="1" x14ac:dyDescent="0.2">
      <c r="A29" s="74"/>
      <c r="B29" s="74"/>
      <c r="C29" s="36" t="s">
        <v>73</v>
      </c>
      <c r="D29" s="17">
        <f>IF(VLOOKUP('Start Page'!$C$46,'Locality Rates'!$A$2:$C$49,3,FALSE)=1,ROUND(D26*'Start Page'!$C$48,2)*$B$12,0)</f>
        <v>0</v>
      </c>
      <c r="E29" s="17">
        <f>IF(VLOOKUP('Start Page'!$C$46,'Locality Rates'!$A$2:$C$49,3,FALSE)=1,ROUND(E26*'Start Page'!$C$48,2)*$B$12,0)</f>
        <v>0</v>
      </c>
      <c r="F29" s="17">
        <f>IF(VLOOKUP('Start Page'!$C$46,'Locality Rates'!$A$2:$C$49,3,FALSE)=1,ROUND(F26*'Start Page'!$C$48,2)*$B$12,0)</f>
        <v>0</v>
      </c>
      <c r="G29" s="17">
        <f>IF(VLOOKUP('Start Page'!$C$46,'Locality Rates'!$A$2:$C$49,3,FALSE)=1,ROUND(G26*'Start Page'!$C$48,2)*$B$12,0)</f>
        <v>0</v>
      </c>
      <c r="H29" s="17">
        <f>IF(VLOOKUP('Start Page'!$C$46,'Locality Rates'!$A$2:$C$49,3,FALSE)=1,ROUND(H26*'Start Page'!$C$48,2)*$B$12,0)</f>
        <v>0</v>
      </c>
      <c r="I29" s="17">
        <f>IF(VLOOKUP('Start Page'!$C$46,'Locality Rates'!$A$2:$C$49,3,FALSE)=1,ROUND(I26*'Start Page'!$C$48,2)*$B$12,0)</f>
        <v>0</v>
      </c>
      <c r="J29" s="17">
        <f>IF(VLOOKUP('Start Page'!$C$46,'Locality Rates'!$A$2:$C$49,3,FALSE)=1,ROUND(J26*'Start Page'!$C$48,2)*$B$12,0)</f>
        <v>0</v>
      </c>
      <c r="K29" s="17">
        <f>IF(VLOOKUP('Start Page'!$C$46,'Locality Rates'!$A$2:$C$49,3,FALSE)=1,ROUND(K26*'Start Page'!$C$48,2)*$B$12,0)</f>
        <v>0</v>
      </c>
      <c r="L29" s="17">
        <f>IF(VLOOKUP('Start Page'!$C$46,'Locality Rates'!$A$2:$C$49,3,FALSE)=1,ROUND(L26*'Start Page'!$C$48,2)*$B$12,0)</f>
        <v>0</v>
      </c>
      <c r="M29" s="17">
        <f>IF(VLOOKUP('Start Page'!$C$46,'Locality Rates'!$A$2:$C$49,3,FALSE)=1,ROUND(M26*'Start Page'!$C$48,2)*$B$12,0)</f>
        <v>0</v>
      </c>
    </row>
    <row r="30" spans="1:13" x14ac:dyDescent="0.2">
      <c r="A30" s="13"/>
      <c r="B30" s="13">
        <f>B25+B27</f>
        <v>144</v>
      </c>
      <c r="C30" s="20" t="s">
        <v>17</v>
      </c>
      <c r="D30" s="21">
        <f t="shared" ref="D30:M30" si="14">D25+D27+D29</f>
        <v>1820.9</v>
      </c>
      <c r="E30" s="21">
        <f t="shared" si="14"/>
        <v>1881.02</v>
      </c>
      <c r="F30" s="21">
        <f t="shared" si="14"/>
        <v>1941.52</v>
      </c>
      <c r="G30" s="21">
        <f t="shared" si="14"/>
        <v>2001.6399999999999</v>
      </c>
      <c r="H30" s="21">
        <f t="shared" si="14"/>
        <v>2062.1400000000003</v>
      </c>
      <c r="I30" s="21">
        <f t="shared" si="14"/>
        <v>2124.08</v>
      </c>
      <c r="J30" s="21">
        <f t="shared" si="14"/>
        <v>2184.2000000000003</v>
      </c>
      <c r="K30" s="21">
        <f t="shared" si="14"/>
        <v>2244.6999999999998</v>
      </c>
      <c r="L30" s="21">
        <f t="shared" si="14"/>
        <v>2304.8200000000002</v>
      </c>
      <c r="M30" s="21">
        <f t="shared" si="14"/>
        <v>2366.7600000000002</v>
      </c>
    </row>
    <row r="31" spans="1:13" x14ac:dyDescent="0.2">
      <c r="A31" s="13"/>
      <c r="B31" s="13"/>
      <c r="C31" s="20" t="s">
        <v>33</v>
      </c>
      <c r="D31" s="21">
        <f>D30*'Start Page'!$C$54</f>
        <v>47343.4</v>
      </c>
      <c r="E31" s="21">
        <f>E30*'Start Page'!$C$54</f>
        <v>48906.52</v>
      </c>
      <c r="F31" s="21">
        <f>F30*'Start Page'!$C$54</f>
        <v>50479.519999999997</v>
      </c>
      <c r="G31" s="21">
        <f>G30*'Start Page'!$C$54</f>
        <v>52042.64</v>
      </c>
      <c r="H31" s="21">
        <f>H30*'Start Page'!$C$54</f>
        <v>53615.640000000007</v>
      </c>
      <c r="I31" s="21">
        <f>I30*'Start Page'!$C$54</f>
        <v>55226.080000000002</v>
      </c>
      <c r="J31" s="21">
        <f>J30*'Start Page'!$C$54</f>
        <v>56789.200000000004</v>
      </c>
      <c r="K31" s="21">
        <f>K30*'Start Page'!$C$54</f>
        <v>58362.2</v>
      </c>
      <c r="L31" s="21">
        <f>L30*'Start Page'!$C$54</f>
        <v>59925.320000000007</v>
      </c>
      <c r="M31" s="21">
        <f>M30*'Start Page'!$C$54</f>
        <v>61535.760000000009</v>
      </c>
    </row>
    <row r="32" spans="1:13" s="26" customFormat="1" x14ac:dyDescent="0.2">
      <c r="A32" s="22"/>
      <c r="B32" s="22"/>
      <c r="C32" s="23" t="s">
        <v>166</v>
      </c>
      <c r="D32" s="24">
        <f>D26*$B$12*'Start Page'!$C$54</f>
        <v>41820.480000000003</v>
      </c>
      <c r="E32" s="24">
        <f>E26*$B$12*'Start Page'!$C$54</f>
        <v>43205.759999999995</v>
      </c>
      <c r="F32" s="24">
        <f>F26*$B$12*'Start Page'!$C$54</f>
        <v>44591.040000000001</v>
      </c>
      <c r="G32" s="24">
        <f>G26*$B$12*'Start Page'!$C$54</f>
        <v>45976.32</v>
      </c>
      <c r="H32" s="24">
        <f>H26*$B$12*'Start Page'!$C$54</f>
        <v>47361.600000000006</v>
      </c>
      <c r="I32" s="24">
        <f>I26*$B$12*'Start Page'!$C$54</f>
        <v>48784.32</v>
      </c>
      <c r="J32" s="24">
        <f>J26*$B$12*'Start Page'!$C$54</f>
        <v>50169.600000000006</v>
      </c>
      <c r="K32" s="24">
        <f>K26*$B$12*'Start Page'!$C$54</f>
        <v>51554.879999999997</v>
      </c>
      <c r="L32" s="24">
        <f>L26*$B$12*'Start Page'!$C$54</f>
        <v>52940.160000000003</v>
      </c>
      <c r="M32" s="25">
        <f>M26*$B$12*'Start Page'!$C$54</f>
        <v>54362.880000000005</v>
      </c>
    </row>
    <row r="33" spans="1:13" x14ac:dyDescent="0.2">
      <c r="A33" s="27"/>
      <c r="B33" s="13"/>
      <c r="C33" s="14" t="s">
        <v>30</v>
      </c>
      <c r="D33" s="15">
        <f>'GS Pay Scale'!B11</f>
        <v>34300</v>
      </c>
      <c r="E33" s="15">
        <f>'GS Pay Scale'!C11</f>
        <v>35443</v>
      </c>
      <c r="F33" s="15">
        <f>'GS Pay Scale'!D11</f>
        <v>36587</v>
      </c>
      <c r="G33" s="15">
        <f>'GS Pay Scale'!E11</f>
        <v>37730</v>
      </c>
      <c r="H33" s="15">
        <f>'GS Pay Scale'!F11</f>
        <v>38873</v>
      </c>
      <c r="I33" s="15">
        <f>'GS Pay Scale'!G11</f>
        <v>40016</v>
      </c>
      <c r="J33" s="15">
        <f>'GS Pay Scale'!H11</f>
        <v>41159</v>
      </c>
      <c r="K33" s="15">
        <f>'GS Pay Scale'!I11</f>
        <v>42302</v>
      </c>
      <c r="L33" s="15">
        <f>'GS Pay Scale'!J11</f>
        <v>43446</v>
      </c>
      <c r="M33" s="15">
        <f>'GS Pay Scale'!K11</f>
        <v>44589</v>
      </c>
    </row>
    <row r="34" spans="1:13" x14ac:dyDescent="0.2">
      <c r="A34" s="13"/>
      <c r="B34" s="13">
        <v>106</v>
      </c>
      <c r="C34" s="16" t="s">
        <v>47</v>
      </c>
      <c r="D34" s="17">
        <f t="shared" ref="D34:M34" si="15">D35*106</f>
        <v>1319.6999999999998</v>
      </c>
      <c r="E34" s="17">
        <f t="shared" si="15"/>
        <v>1363.1599999999999</v>
      </c>
      <c r="F34" s="17">
        <f t="shared" si="15"/>
        <v>1407.6799999999998</v>
      </c>
      <c r="G34" s="17">
        <f t="shared" si="15"/>
        <v>1451.1399999999999</v>
      </c>
      <c r="H34" s="17">
        <f t="shared" si="15"/>
        <v>1494.6</v>
      </c>
      <c r="I34" s="17">
        <f t="shared" si="15"/>
        <v>1539.12</v>
      </c>
      <c r="J34" s="17">
        <f t="shared" si="15"/>
        <v>1582.58</v>
      </c>
      <c r="K34" s="17">
        <f t="shared" si="15"/>
        <v>1627.1</v>
      </c>
      <c r="L34" s="17">
        <f t="shared" si="15"/>
        <v>1670.56</v>
      </c>
      <c r="M34" s="17">
        <f t="shared" si="15"/>
        <v>1715.08</v>
      </c>
    </row>
    <row r="35" spans="1:13" x14ac:dyDescent="0.2">
      <c r="A35" s="13"/>
      <c r="B35" s="13"/>
      <c r="C35" s="16" t="s">
        <v>13</v>
      </c>
      <c r="D35" s="17">
        <f t="shared" ref="D35:M35" si="16">ROUND(D33/2756,2)</f>
        <v>12.45</v>
      </c>
      <c r="E35" s="17">
        <f t="shared" si="16"/>
        <v>12.86</v>
      </c>
      <c r="F35" s="17">
        <f t="shared" si="16"/>
        <v>13.28</v>
      </c>
      <c r="G35" s="17">
        <f t="shared" si="16"/>
        <v>13.69</v>
      </c>
      <c r="H35" s="17">
        <f t="shared" si="16"/>
        <v>14.1</v>
      </c>
      <c r="I35" s="17">
        <f t="shared" si="16"/>
        <v>14.52</v>
      </c>
      <c r="J35" s="17">
        <f t="shared" si="16"/>
        <v>14.93</v>
      </c>
      <c r="K35" s="17">
        <f t="shared" si="16"/>
        <v>15.35</v>
      </c>
      <c r="L35" s="17">
        <f t="shared" si="16"/>
        <v>15.76</v>
      </c>
      <c r="M35" s="17">
        <f t="shared" si="16"/>
        <v>16.18</v>
      </c>
    </row>
    <row r="36" spans="1:13" x14ac:dyDescent="0.2">
      <c r="A36" s="18"/>
      <c r="B36" s="19">
        <f>($G$3-53)*2</f>
        <v>38</v>
      </c>
      <c r="C36" s="16" t="s">
        <v>48</v>
      </c>
      <c r="D36" s="17">
        <f t="shared" ref="D36:M36" si="17">D37*$B$9</f>
        <v>709.84</v>
      </c>
      <c r="E36" s="17">
        <f t="shared" si="17"/>
        <v>733.02</v>
      </c>
      <c r="F36" s="17">
        <f t="shared" si="17"/>
        <v>756.96</v>
      </c>
      <c r="G36" s="17">
        <f t="shared" si="17"/>
        <v>780.52</v>
      </c>
      <c r="H36" s="17">
        <f t="shared" si="17"/>
        <v>803.69999999999993</v>
      </c>
      <c r="I36" s="17">
        <f t="shared" si="17"/>
        <v>827.6400000000001</v>
      </c>
      <c r="J36" s="17">
        <f t="shared" si="17"/>
        <v>851.19999999999993</v>
      </c>
      <c r="K36" s="17">
        <f t="shared" si="17"/>
        <v>875.1400000000001</v>
      </c>
      <c r="L36" s="17">
        <f t="shared" si="17"/>
        <v>898.32</v>
      </c>
      <c r="M36" s="17">
        <f t="shared" si="17"/>
        <v>922.26</v>
      </c>
    </row>
    <row r="37" spans="1:13" x14ac:dyDescent="0.2">
      <c r="A37" s="13" t="s">
        <v>18</v>
      </c>
      <c r="B37" s="13"/>
      <c r="C37" s="16" t="s">
        <v>14</v>
      </c>
      <c r="D37" s="17">
        <f>IF(ROUND(D35*1.5,2)&lt;$G$116,ROUND(D35*1.5,2),IF($G$116&lt;D35,D35,$G$116))</f>
        <v>18.68</v>
      </c>
      <c r="E37" s="17">
        <f t="shared" ref="E37:M37" si="18">IF(ROUND(E35*1.5,2)&lt;$G$116,ROUND(E35*1.5,2),IF($G$116&lt;E35,E35,$G$116))</f>
        <v>19.29</v>
      </c>
      <c r="F37" s="17">
        <f t="shared" si="18"/>
        <v>19.920000000000002</v>
      </c>
      <c r="G37" s="17">
        <f t="shared" si="18"/>
        <v>20.54</v>
      </c>
      <c r="H37" s="17">
        <f t="shared" si="18"/>
        <v>21.15</v>
      </c>
      <c r="I37" s="17">
        <f t="shared" si="18"/>
        <v>21.78</v>
      </c>
      <c r="J37" s="17">
        <f t="shared" si="18"/>
        <v>22.4</v>
      </c>
      <c r="K37" s="17">
        <f t="shared" si="18"/>
        <v>23.03</v>
      </c>
      <c r="L37" s="17">
        <f t="shared" si="18"/>
        <v>23.64</v>
      </c>
      <c r="M37" s="17">
        <f t="shared" si="18"/>
        <v>24.27</v>
      </c>
    </row>
    <row r="38" spans="1:13" s="75" customFormat="1" x14ac:dyDescent="0.2">
      <c r="A38" s="74"/>
      <c r="B38" s="74"/>
      <c r="C38" s="36" t="s">
        <v>73</v>
      </c>
      <c r="D38" s="17">
        <f>IF(VLOOKUP('Start Page'!$C$46,'Locality Rates'!$A$2:$C$49,3,FALSE)=1,ROUND(D35*'Start Page'!$C$48,2)*$B$12,0)</f>
        <v>0</v>
      </c>
      <c r="E38" s="17">
        <f>IF(VLOOKUP('Start Page'!$C$46,'Locality Rates'!$A$2:$C$49,3,FALSE)=1,ROUND(E35*'Start Page'!$C$48,2)*$B$12,0)</f>
        <v>0</v>
      </c>
      <c r="F38" s="17">
        <f>IF(VLOOKUP('Start Page'!$C$46,'Locality Rates'!$A$2:$C$49,3,FALSE)=1,ROUND(F35*'Start Page'!$C$48,2)*$B$12,0)</f>
        <v>0</v>
      </c>
      <c r="G38" s="17">
        <f>IF(VLOOKUP('Start Page'!$C$46,'Locality Rates'!$A$2:$C$49,3,FALSE)=1,ROUND(G35*'Start Page'!$C$48,2)*$B$12,0)</f>
        <v>0</v>
      </c>
      <c r="H38" s="17">
        <f>IF(VLOOKUP('Start Page'!$C$46,'Locality Rates'!$A$2:$C$49,3,FALSE)=1,ROUND(H35*'Start Page'!$C$48,2)*$B$12,0)</f>
        <v>0</v>
      </c>
      <c r="I38" s="17">
        <f>IF(VLOOKUP('Start Page'!$C$46,'Locality Rates'!$A$2:$C$49,3,FALSE)=1,ROUND(I35*'Start Page'!$C$48,2)*$B$12,0)</f>
        <v>0</v>
      </c>
      <c r="J38" s="17">
        <f>IF(VLOOKUP('Start Page'!$C$46,'Locality Rates'!$A$2:$C$49,3,FALSE)=1,ROUND(J35*'Start Page'!$C$48,2)*$B$12,0)</f>
        <v>0</v>
      </c>
      <c r="K38" s="17">
        <f>IF(VLOOKUP('Start Page'!$C$46,'Locality Rates'!$A$2:$C$49,3,FALSE)=1,ROUND(K35*'Start Page'!$C$48,2)*$B$12,0)</f>
        <v>0</v>
      </c>
      <c r="L38" s="17">
        <f>IF(VLOOKUP('Start Page'!$C$46,'Locality Rates'!$A$2:$C$49,3,FALSE)=1,ROUND(L35*'Start Page'!$C$48,2)*$B$12,0)</f>
        <v>0</v>
      </c>
      <c r="M38" s="17">
        <f>IF(VLOOKUP('Start Page'!$C$46,'Locality Rates'!$A$2:$C$49,3,FALSE)=1,ROUND(M35*'Start Page'!$C$48,2)*$B$12,0)</f>
        <v>0</v>
      </c>
    </row>
    <row r="39" spans="1:13" x14ac:dyDescent="0.2">
      <c r="A39" s="13"/>
      <c r="B39" s="13">
        <f>B34+B36</f>
        <v>144</v>
      </c>
      <c r="C39" s="20" t="s">
        <v>17</v>
      </c>
      <c r="D39" s="21">
        <f t="shared" ref="D39:M39" si="19">D34+D36+D38</f>
        <v>2029.54</v>
      </c>
      <c r="E39" s="21">
        <f t="shared" si="19"/>
        <v>2096.1799999999998</v>
      </c>
      <c r="F39" s="21">
        <f t="shared" si="19"/>
        <v>2164.64</v>
      </c>
      <c r="G39" s="21">
        <f t="shared" si="19"/>
        <v>2231.66</v>
      </c>
      <c r="H39" s="21">
        <f t="shared" si="19"/>
        <v>2298.2999999999997</v>
      </c>
      <c r="I39" s="21">
        <f t="shared" si="19"/>
        <v>2366.7600000000002</v>
      </c>
      <c r="J39" s="21">
        <f t="shared" si="19"/>
        <v>2433.7799999999997</v>
      </c>
      <c r="K39" s="21">
        <f t="shared" si="19"/>
        <v>2502.2399999999998</v>
      </c>
      <c r="L39" s="21">
        <f t="shared" si="19"/>
        <v>2568.88</v>
      </c>
      <c r="M39" s="21">
        <f t="shared" si="19"/>
        <v>2637.34</v>
      </c>
    </row>
    <row r="40" spans="1:13" x14ac:dyDescent="0.2">
      <c r="A40" s="13"/>
      <c r="B40" s="13"/>
      <c r="C40" s="20" t="s">
        <v>33</v>
      </c>
      <c r="D40" s="21">
        <f>D39*'Start Page'!$C$54</f>
        <v>52768.04</v>
      </c>
      <c r="E40" s="21">
        <f>E39*'Start Page'!$C$54</f>
        <v>54500.679999999993</v>
      </c>
      <c r="F40" s="21">
        <f>F39*'Start Page'!$C$54</f>
        <v>56280.639999999999</v>
      </c>
      <c r="G40" s="21">
        <f>G39*'Start Page'!$C$54</f>
        <v>58023.159999999996</v>
      </c>
      <c r="H40" s="21">
        <f>H39*'Start Page'!$C$54</f>
        <v>59755.799999999996</v>
      </c>
      <c r="I40" s="21">
        <f>I39*'Start Page'!$C$54</f>
        <v>61535.760000000009</v>
      </c>
      <c r="J40" s="21">
        <f>J39*'Start Page'!$C$54</f>
        <v>63278.279999999992</v>
      </c>
      <c r="K40" s="21">
        <f>K39*'Start Page'!$C$54</f>
        <v>65058.239999999991</v>
      </c>
      <c r="L40" s="21">
        <f>L39*'Start Page'!$C$54</f>
        <v>66790.880000000005</v>
      </c>
      <c r="M40" s="21">
        <f>M39*'Start Page'!$C$54</f>
        <v>68570.84</v>
      </c>
    </row>
    <row r="41" spans="1:13" s="26" customFormat="1" x14ac:dyDescent="0.2">
      <c r="A41" s="22"/>
      <c r="B41" s="22"/>
      <c r="C41" s="23" t="s">
        <v>166</v>
      </c>
      <c r="D41" s="24">
        <f>D35*$B$12*'Start Page'!$C$54</f>
        <v>46612.799999999996</v>
      </c>
      <c r="E41" s="24">
        <f>E35*$B$12*'Start Page'!$C$54</f>
        <v>48147.839999999997</v>
      </c>
      <c r="F41" s="24">
        <f>F35*$B$12*'Start Page'!$C$54</f>
        <v>49720.32</v>
      </c>
      <c r="G41" s="24">
        <f>G35*$B$12*'Start Page'!$C$54</f>
        <v>51255.360000000001</v>
      </c>
      <c r="H41" s="24">
        <f>H35*$B$12*'Start Page'!$C$54</f>
        <v>52790.399999999994</v>
      </c>
      <c r="I41" s="24">
        <f>I35*$B$12*'Start Page'!$C$54</f>
        <v>54362.880000000005</v>
      </c>
      <c r="J41" s="24">
        <f>J35*$B$12*'Start Page'!$C$54</f>
        <v>55897.919999999998</v>
      </c>
      <c r="K41" s="24">
        <f>K35*$B$12*'Start Page'!$C$54</f>
        <v>57470.400000000001</v>
      </c>
      <c r="L41" s="24">
        <f>L35*$B$12*'Start Page'!$C$54</f>
        <v>59005.440000000002</v>
      </c>
      <c r="M41" s="25">
        <f>M35*$B$12*'Start Page'!$C$54</f>
        <v>60577.919999999998</v>
      </c>
    </row>
    <row r="42" spans="1:13" x14ac:dyDescent="0.2">
      <c r="A42" s="13"/>
      <c r="B42" s="13"/>
      <c r="C42" s="14" t="s">
        <v>30</v>
      </c>
      <c r="D42" s="28">
        <f>'GS Pay Scale'!B12</f>
        <v>38117</v>
      </c>
      <c r="E42" s="28">
        <f>'GS Pay Scale'!C12</f>
        <v>39388</v>
      </c>
      <c r="F42" s="28">
        <f>'GS Pay Scale'!D12</f>
        <v>40658</v>
      </c>
      <c r="G42" s="28">
        <f>'GS Pay Scale'!E12</f>
        <v>41929</v>
      </c>
      <c r="H42" s="28">
        <f>'GS Pay Scale'!F12</f>
        <v>43200</v>
      </c>
      <c r="I42" s="28">
        <f>'GS Pay Scale'!G12</f>
        <v>44470</v>
      </c>
      <c r="J42" s="28">
        <f>'GS Pay Scale'!H12</f>
        <v>45741</v>
      </c>
      <c r="K42" s="28">
        <f>'GS Pay Scale'!I12</f>
        <v>47012</v>
      </c>
      <c r="L42" s="28">
        <f>'GS Pay Scale'!J12</f>
        <v>48282</v>
      </c>
      <c r="M42" s="28">
        <f>'GS Pay Scale'!K12</f>
        <v>49553</v>
      </c>
    </row>
    <row r="43" spans="1:13" x14ac:dyDescent="0.2">
      <c r="A43" s="13"/>
      <c r="B43" s="13">
        <v>106</v>
      </c>
      <c r="C43" s="16" t="s">
        <v>47</v>
      </c>
      <c r="D43" s="17">
        <f t="shared" ref="D43:M43" si="20">D44*106</f>
        <v>1465.98</v>
      </c>
      <c r="E43" s="17">
        <f t="shared" si="20"/>
        <v>1514.74</v>
      </c>
      <c r="F43" s="17">
        <f t="shared" si="20"/>
        <v>1563.5</v>
      </c>
      <c r="G43" s="17">
        <f t="shared" si="20"/>
        <v>1612.26</v>
      </c>
      <c r="H43" s="17">
        <f t="shared" si="20"/>
        <v>1661.02</v>
      </c>
      <c r="I43" s="17">
        <f t="shared" si="20"/>
        <v>1710.8400000000001</v>
      </c>
      <c r="J43" s="17">
        <f t="shared" si="20"/>
        <v>1759.6000000000001</v>
      </c>
      <c r="K43" s="17">
        <f t="shared" si="20"/>
        <v>1808.36</v>
      </c>
      <c r="L43" s="17">
        <f t="shared" si="20"/>
        <v>1857.12</v>
      </c>
      <c r="M43" s="17">
        <f t="shared" si="20"/>
        <v>1905.88</v>
      </c>
    </row>
    <row r="44" spans="1:13" x14ac:dyDescent="0.2">
      <c r="A44" s="13"/>
      <c r="B44" s="13"/>
      <c r="C44" s="16" t="s">
        <v>13</v>
      </c>
      <c r="D44" s="17">
        <f t="shared" ref="D44:M44" si="21">ROUND(D42/2756,2)</f>
        <v>13.83</v>
      </c>
      <c r="E44" s="17">
        <f t="shared" si="21"/>
        <v>14.29</v>
      </c>
      <c r="F44" s="17">
        <f t="shared" si="21"/>
        <v>14.75</v>
      </c>
      <c r="G44" s="17">
        <f t="shared" si="21"/>
        <v>15.21</v>
      </c>
      <c r="H44" s="17">
        <f t="shared" si="21"/>
        <v>15.67</v>
      </c>
      <c r="I44" s="17">
        <f t="shared" si="21"/>
        <v>16.14</v>
      </c>
      <c r="J44" s="17">
        <f t="shared" si="21"/>
        <v>16.600000000000001</v>
      </c>
      <c r="K44" s="17">
        <f t="shared" si="21"/>
        <v>17.059999999999999</v>
      </c>
      <c r="L44" s="17">
        <f t="shared" si="21"/>
        <v>17.52</v>
      </c>
      <c r="M44" s="17">
        <f t="shared" si="21"/>
        <v>17.98</v>
      </c>
    </row>
    <row r="45" spans="1:13" x14ac:dyDescent="0.2">
      <c r="A45" s="18"/>
      <c r="B45" s="19">
        <f>($G$3-53)*2</f>
        <v>38</v>
      </c>
      <c r="C45" s="16" t="s">
        <v>48</v>
      </c>
      <c r="D45" s="17">
        <f t="shared" ref="D45:M45" si="22">D46*$B$9</f>
        <v>788.5</v>
      </c>
      <c r="E45" s="17">
        <f t="shared" si="22"/>
        <v>814.72</v>
      </c>
      <c r="F45" s="17">
        <f t="shared" si="22"/>
        <v>840.93999999999994</v>
      </c>
      <c r="G45" s="17">
        <f t="shared" si="22"/>
        <v>867.16</v>
      </c>
      <c r="H45" s="17">
        <f t="shared" si="22"/>
        <v>893.38000000000011</v>
      </c>
      <c r="I45" s="17">
        <f t="shared" si="22"/>
        <v>919.98</v>
      </c>
      <c r="J45" s="17">
        <f t="shared" si="22"/>
        <v>946.19999999999993</v>
      </c>
      <c r="K45" s="17">
        <f t="shared" si="22"/>
        <v>972.42</v>
      </c>
      <c r="L45" s="17">
        <f t="shared" si="22"/>
        <v>998.6400000000001</v>
      </c>
      <c r="M45" s="17">
        <f t="shared" si="22"/>
        <v>1024.8599999999999</v>
      </c>
    </row>
    <row r="46" spans="1:13" x14ac:dyDescent="0.2">
      <c r="A46" s="13" t="s">
        <v>12</v>
      </c>
      <c r="B46" s="13"/>
      <c r="C46" s="16" t="s">
        <v>14</v>
      </c>
      <c r="D46" s="17">
        <f>IF(ROUND(D44*1.5,2)&lt;$G$116,ROUND(D44*1.5,2),IF($G$116&lt;D44,D44,$G$116))</f>
        <v>20.75</v>
      </c>
      <c r="E46" s="17">
        <f t="shared" ref="E46:M46" si="23">IF(ROUND(E44*1.5,2)&lt;$G$116,ROUND(E44*1.5,2),IF($G$116&lt;E44,E44,$G$116))</f>
        <v>21.44</v>
      </c>
      <c r="F46" s="17">
        <f t="shared" si="23"/>
        <v>22.13</v>
      </c>
      <c r="G46" s="17">
        <f t="shared" si="23"/>
        <v>22.82</v>
      </c>
      <c r="H46" s="17">
        <f t="shared" si="23"/>
        <v>23.51</v>
      </c>
      <c r="I46" s="17">
        <f t="shared" si="23"/>
        <v>24.21</v>
      </c>
      <c r="J46" s="17">
        <f t="shared" si="23"/>
        <v>24.9</v>
      </c>
      <c r="K46" s="17">
        <f t="shared" si="23"/>
        <v>25.59</v>
      </c>
      <c r="L46" s="17">
        <f t="shared" si="23"/>
        <v>26.28</v>
      </c>
      <c r="M46" s="17">
        <f t="shared" si="23"/>
        <v>26.97</v>
      </c>
    </row>
    <row r="47" spans="1:13" s="75" customFormat="1" x14ac:dyDescent="0.2">
      <c r="A47" s="74"/>
      <c r="B47" s="74"/>
      <c r="C47" s="36" t="s">
        <v>73</v>
      </c>
      <c r="D47" s="17">
        <f>IF(VLOOKUP('Start Page'!$C$46,'Locality Rates'!$A$2:$C$49,3,FALSE)=1,ROUND(D44*'Start Page'!$C$48,2)*$B$12,0)</f>
        <v>0</v>
      </c>
      <c r="E47" s="17">
        <f>IF(VLOOKUP('Start Page'!$C$46,'Locality Rates'!$A$2:$C$49,3,FALSE)=1,ROUND(E44*'Start Page'!$C$48,2)*$B$12,0)</f>
        <v>0</v>
      </c>
      <c r="F47" s="17">
        <f>IF(VLOOKUP('Start Page'!$C$46,'Locality Rates'!$A$2:$C$49,3,FALSE)=1,ROUND(F44*'Start Page'!$C$48,2)*$B$12,0)</f>
        <v>0</v>
      </c>
      <c r="G47" s="17">
        <f>IF(VLOOKUP('Start Page'!$C$46,'Locality Rates'!$A$2:$C$49,3,FALSE)=1,ROUND(G44*'Start Page'!$C$48,2)*$B$12,0)</f>
        <v>0</v>
      </c>
      <c r="H47" s="17">
        <f>IF(VLOOKUP('Start Page'!$C$46,'Locality Rates'!$A$2:$C$49,3,FALSE)=1,ROUND(H44*'Start Page'!$C$48,2)*$B$12,0)</f>
        <v>0</v>
      </c>
      <c r="I47" s="17">
        <f>IF(VLOOKUP('Start Page'!$C$46,'Locality Rates'!$A$2:$C$49,3,FALSE)=1,ROUND(I44*'Start Page'!$C$48,2)*$B$12,0)</f>
        <v>0</v>
      </c>
      <c r="J47" s="17">
        <f>IF(VLOOKUP('Start Page'!$C$46,'Locality Rates'!$A$2:$C$49,3,FALSE)=1,ROUND(J44*'Start Page'!$C$48,2)*$B$12,0)</f>
        <v>0</v>
      </c>
      <c r="K47" s="17">
        <f>IF(VLOOKUP('Start Page'!$C$46,'Locality Rates'!$A$2:$C$49,3,FALSE)=1,ROUND(K44*'Start Page'!$C$48,2)*$B$12,0)</f>
        <v>0</v>
      </c>
      <c r="L47" s="17">
        <f>IF(VLOOKUP('Start Page'!$C$46,'Locality Rates'!$A$2:$C$49,3,FALSE)=1,ROUND(L44*'Start Page'!$C$48,2)*$B$12,0)</f>
        <v>0</v>
      </c>
      <c r="M47" s="17">
        <f>IF(VLOOKUP('Start Page'!$C$46,'Locality Rates'!$A$2:$C$49,3,FALSE)=1,ROUND(M44*'Start Page'!$C$48,2)*$B$12,0)</f>
        <v>0</v>
      </c>
    </row>
    <row r="48" spans="1:13" x14ac:dyDescent="0.2">
      <c r="A48" s="13"/>
      <c r="B48" s="13">
        <f>B43+B45</f>
        <v>144</v>
      </c>
      <c r="C48" s="20" t="s">
        <v>17</v>
      </c>
      <c r="D48" s="21">
        <f t="shared" ref="D48:M48" si="24">D43+D45+D47</f>
        <v>2254.48</v>
      </c>
      <c r="E48" s="21">
        <f t="shared" si="24"/>
        <v>2329.46</v>
      </c>
      <c r="F48" s="21">
        <f t="shared" si="24"/>
        <v>2404.44</v>
      </c>
      <c r="G48" s="21">
        <f t="shared" si="24"/>
        <v>2479.42</v>
      </c>
      <c r="H48" s="21">
        <f t="shared" si="24"/>
        <v>2554.4</v>
      </c>
      <c r="I48" s="21">
        <f t="shared" si="24"/>
        <v>2630.82</v>
      </c>
      <c r="J48" s="21">
        <f t="shared" si="24"/>
        <v>2705.8</v>
      </c>
      <c r="K48" s="21">
        <f t="shared" si="24"/>
        <v>2780.7799999999997</v>
      </c>
      <c r="L48" s="21">
        <f t="shared" si="24"/>
        <v>2855.76</v>
      </c>
      <c r="M48" s="21">
        <f t="shared" si="24"/>
        <v>2930.74</v>
      </c>
    </row>
    <row r="49" spans="1:13" x14ac:dyDescent="0.2">
      <c r="A49" s="13"/>
      <c r="B49" s="13"/>
      <c r="C49" s="20" t="s">
        <v>33</v>
      </c>
      <c r="D49" s="21">
        <f>D48*'Start Page'!$C$54</f>
        <v>58616.480000000003</v>
      </c>
      <c r="E49" s="21">
        <f>E48*'Start Page'!$C$54</f>
        <v>60565.96</v>
      </c>
      <c r="F49" s="21">
        <f>F48*'Start Page'!$C$54</f>
        <v>62515.44</v>
      </c>
      <c r="G49" s="21">
        <f>G48*'Start Page'!$C$54</f>
        <v>64464.92</v>
      </c>
      <c r="H49" s="21">
        <f>H48*'Start Page'!$C$54</f>
        <v>66414.400000000009</v>
      </c>
      <c r="I49" s="21">
        <f>I48*'Start Page'!$C$54</f>
        <v>68401.320000000007</v>
      </c>
      <c r="J49" s="21">
        <f>J48*'Start Page'!$C$54</f>
        <v>70350.8</v>
      </c>
      <c r="K49" s="21">
        <f>K48*'Start Page'!$C$54</f>
        <v>72300.28</v>
      </c>
      <c r="L49" s="21">
        <f>L48*'Start Page'!$C$54</f>
        <v>74249.760000000009</v>
      </c>
      <c r="M49" s="21">
        <f>M48*'Start Page'!$C$54</f>
        <v>76199.239999999991</v>
      </c>
    </row>
    <row r="50" spans="1:13" s="26" customFormat="1" x14ac:dyDescent="0.2">
      <c r="A50" s="22"/>
      <c r="B50" s="22"/>
      <c r="C50" s="23" t="s">
        <v>166</v>
      </c>
      <c r="D50" s="24">
        <f>D44*$B$12*'Start Page'!$C$54</f>
        <v>51779.519999999997</v>
      </c>
      <c r="E50" s="24">
        <f>E44*$B$12*'Start Page'!$C$54</f>
        <v>53501.759999999995</v>
      </c>
      <c r="F50" s="24">
        <f>F44*$B$12*'Start Page'!$C$54</f>
        <v>55224</v>
      </c>
      <c r="G50" s="24">
        <f>G44*$B$12*'Start Page'!$C$54</f>
        <v>56946.240000000005</v>
      </c>
      <c r="H50" s="24">
        <f>H44*$B$12*'Start Page'!$C$54</f>
        <v>58668.480000000003</v>
      </c>
      <c r="I50" s="24">
        <f>I44*$B$12*'Start Page'!$C$54</f>
        <v>60428.159999999996</v>
      </c>
      <c r="J50" s="24">
        <f>J44*$B$12*'Start Page'!$C$54</f>
        <v>62150.400000000001</v>
      </c>
      <c r="K50" s="24">
        <f>K44*$B$12*'Start Page'!$C$54</f>
        <v>63872.639999999999</v>
      </c>
      <c r="L50" s="24">
        <f>L44*$B$12*'Start Page'!$C$54</f>
        <v>65594.880000000005</v>
      </c>
      <c r="M50" s="25">
        <f>M44*$B$12*'Start Page'!$C$54</f>
        <v>67317.119999999995</v>
      </c>
    </row>
    <row r="51" spans="1:13" x14ac:dyDescent="0.2">
      <c r="A51" s="13"/>
      <c r="B51" s="13"/>
      <c r="C51" s="14" t="s">
        <v>30</v>
      </c>
      <c r="D51" s="28">
        <f>'GS Pay Scale'!B13</f>
        <v>42214</v>
      </c>
      <c r="E51" s="28">
        <f>'GS Pay Scale'!C13</f>
        <v>43621</v>
      </c>
      <c r="F51" s="28">
        <f>'GS Pay Scale'!D13</f>
        <v>45028</v>
      </c>
      <c r="G51" s="28">
        <f>'GS Pay Scale'!E13</f>
        <v>46436</v>
      </c>
      <c r="H51" s="28">
        <f>'GS Pay Scale'!F13</f>
        <v>47843</v>
      </c>
      <c r="I51" s="28">
        <f>'GS Pay Scale'!G13</f>
        <v>49250</v>
      </c>
      <c r="J51" s="28">
        <f>'GS Pay Scale'!H13</f>
        <v>50657</v>
      </c>
      <c r="K51" s="28">
        <f>'GS Pay Scale'!I13</f>
        <v>52065</v>
      </c>
      <c r="L51" s="28">
        <f>'GS Pay Scale'!J13</f>
        <v>53472</v>
      </c>
      <c r="M51" s="28">
        <f>'GS Pay Scale'!K13</f>
        <v>54879</v>
      </c>
    </row>
    <row r="52" spans="1:13" x14ac:dyDescent="0.2">
      <c r="A52" s="13"/>
      <c r="B52" s="13">
        <v>106</v>
      </c>
      <c r="C52" s="16" t="s">
        <v>47</v>
      </c>
      <c r="D52" s="17">
        <f t="shared" ref="D52:M52" si="25">D53*106</f>
        <v>1623.92</v>
      </c>
      <c r="E52" s="17">
        <f t="shared" si="25"/>
        <v>1677.98</v>
      </c>
      <c r="F52" s="17">
        <f t="shared" si="25"/>
        <v>1732.04</v>
      </c>
      <c r="G52" s="17">
        <f t="shared" si="25"/>
        <v>1786.1000000000001</v>
      </c>
      <c r="H52" s="17">
        <f t="shared" si="25"/>
        <v>1840.1599999999999</v>
      </c>
      <c r="I52" s="17">
        <f t="shared" si="25"/>
        <v>1894.22</v>
      </c>
      <c r="J52" s="17">
        <f t="shared" si="25"/>
        <v>1948.28</v>
      </c>
      <c r="K52" s="17">
        <f t="shared" si="25"/>
        <v>2002.3400000000001</v>
      </c>
      <c r="L52" s="17">
        <f t="shared" si="25"/>
        <v>2056.3999999999996</v>
      </c>
      <c r="M52" s="17">
        <f t="shared" si="25"/>
        <v>2110.46</v>
      </c>
    </row>
    <row r="53" spans="1:13" x14ac:dyDescent="0.2">
      <c r="A53" s="13"/>
      <c r="B53" s="13"/>
      <c r="C53" s="16" t="s">
        <v>13</v>
      </c>
      <c r="D53" s="17">
        <f t="shared" ref="D53:M53" si="26">ROUND(D51/2756,2)</f>
        <v>15.32</v>
      </c>
      <c r="E53" s="17">
        <f t="shared" si="26"/>
        <v>15.83</v>
      </c>
      <c r="F53" s="17">
        <f t="shared" si="26"/>
        <v>16.34</v>
      </c>
      <c r="G53" s="17">
        <f t="shared" si="26"/>
        <v>16.850000000000001</v>
      </c>
      <c r="H53" s="17">
        <f t="shared" si="26"/>
        <v>17.36</v>
      </c>
      <c r="I53" s="17">
        <f t="shared" si="26"/>
        <v>17.87</v>
      </c>
      <c r="J53" s="17">
        <f t="shared" si="26"/>
        <v>18.38</v>
      </c>
      <c r="K53" s="17">
        <f t="shared" si="26"/>
        <v>18.89</v>
      </c>
      <c r="L53" s="17">
        <f t="shared" si="26"/>
        <v>19.399999999999999</v>
      </c>
      <c r="M53" s="17">
        <f t="shared" si="26"/>
        <v>19.91</v>
      </c>
    </row>
    <row r="54" spans="1:13" x14ac:dyDescent="0.2">
      <c r="A54" s="18"/>
      <c r="B54" s="19">
        <f>($G$3-53)*2</f>
        <v>38</v>
      </c>
      <c r="C54" s="16" t="s">
        <v>48</v>
      </c>
      <c r="D54" s="17">
        <f t="shared" ref="D54:M54" si="27">D55*$B$9</f>
        <v>873.24</v>
      </c>
      <c r="E54" s="17">
        <f t="shared" si="27"/>
        <v>902.5</v>
      </c>
      <c r="F54" s="17">
        <f t="shared" si="27"/>
        <v>931.38000000000011</v>
      </c>
      <c r="G54" s="17">
        <f t="shared" si="27"/>
        <v>960.6400000000001</v>
      </c>
      <c r="H54" s="17">
        <f t="shared" si="27"/>
        <v>989.52</v>
      </c>
      <c r="I54" s="17">
        <f t="shared" si="27"/>
        <v>1018.78</v>
      </c>
      <c r="J54" s="17">
        <f t="shared" si="27"/>
        <v>1047.6600000000001</v>
      </c>
      <c r="K54" s="17">
        <f t="shared" si="27"/>
        <v>1076.92</v>
      </c>
      <c r="L54" s="17">
        <f t="shared" si="27"/>
        <v>1105.8</v>
      </c>
      <c r="M54" s="17">
        <f t="shared" si="27"/>
        <v>1135.06</v>
      </c>
    </row>
    <row r="55" spans="1:13" x14ac:dyDescent="0.2">
      <c r="A55" s="13" t="s">
        <v>15</v>
      </c>
      <c r="B55" s="13"/>
      <c r="C55" s="16" t="s">
        <v>14</v>
      </c>
      <c r="D55" s="17">
        <f>IF(ROUND(D53*1.5,2)&lt;$G$116,ROUND(D53*1.5,2),IF($G$116&lt;D53,D53,$G$116))</f>
        <v>22.98</v>
      </c>
      <c r="E55" s="17">
        <f t="shared" ref="E55:M55" si="28">IF(ROUND(E53*1.5,2)&lt;$G$116,ROUND(E53*1.5,2),IF($G$116&lt;E53,E53,$G$116))</f>
        <v>23.75</v>
      </c>
      <c r="F55" s="17">
        <f t="shared" si="28"/>
        <v>24.51</v>
      </c>
      <c r="G55" s="17">
        <f t="shared" si="28"/>
        <v>25.28</v>
      </c>
      <c r="H55" s="17">
        <f t="shared" si="28"/>
        <v>26.04</v>
      </c>
      <c r="I55" s="17">
        <f t="shared" si="28"/>
        <v>26.81</v>
      </c>
      <c r="J55" s="17">
        <f t="shared" si="28"/>
        <v>27.57</v>
      </c>
      <c r="K55" s="17">
        <f t="shared" si="28"/>
        <v>28.34</v>
      </c>
      <c r="L55" s="17">
        <f t="shared" si="28"/>
        <v>29.1</v>
      </c>
      <c r="M55" s="17">
        <f t="shared" si="28"/>
        <v>29.87</v>
      </c>
    </row>
    <row r="56" spans="1:13" s="75" customFormat="1" x14ac:dyDescent="0.2">
      <c r="A56" s="74"/>
      <c r="B56" s="74"/>
      <c r="C56" s="36" t="s">
        <v>73</v>
      </c>
      <c r="D56" s="17">
        <f>IF(VLOOKUP('Start Page'!$C$46,'Locality Rates'!$A$2:$C$49,3,FALSE)=1,ROUND(D53*'Start Page'!$C$48,2)*$B$12,0)</f>
        <v>0</v>
      </c>
      <c r="E56" s="17">
        <f>IF(VLOOKUP('Start Page'!$C$46,'Locality Rates'!$A$2:$C$49,3,FALSE)=1,ROUND(E53*'Start Page'!$C$48,2)*$B$12,0)</f>
        <v>0</v>
      </c>
      <c r="F56" s="17">
        <f>IF(VLOOKUP('Start Page'!$C$46,'Locality Rates'!$A$2:$C$49,3,FALSE)=1,ROUND(F53*'Start Page'!$C$48,2)*$B$12,0)</f>
        <v>0</v>
      </c>
      <c r="G56" s="17">
        <f>IF(VLOOKUP('Start Page'!$C$46,'Locality Rates'!$A$2:$C$49,3,FALSE)=1,ROUND(G53*'Start Page'!$C$48,2)*$B$12,0)</f>
        <v>0</v>
      </c>
      <c r="H56" s="17">
        <f>IF(VLOOKUP('Start Page'!$C$46,'Locality Rates'!$A$2:$C$49,3,FALSE)=1,ROUND(H53*'Start Page'!$C$48,2)*$B$12,0)</f>
        <v>0</v>
      </c>
      <c r="I56" s="17">
        <f>IF(VLOOKUP('Start Page'!$C$46,'Locality Rates'!$A$2:$C$49,3,FALSE)=1,ROUND(I53*'Start Page'!$C$48,2)*$B$12,0)</f>
        <v>0</v>
      </c>
      <c r="J56" s="17">
        <f>IF(VLOOKUP('Start Page'!$C$46,'Locality Rates'!$A$2:$C$49,3,FALSE)=1,ROUND(J53*'Start Page'!$C$48,2)*$B$12,0)</f>
        <v>0</v>
      </c>
      <c r="K56" s="17">
        <f>IF(VLOOKUP('Start Page'!$C$46,'Locality Rates'!$A$2:$C$49,3,FALSE)=1,ROUND(K53*'Start Page'!$C$48,2)*$B$12,0)</f>
        <v>0</v>
      </c>
      <c r="L56" s="17">
        <f>IF(VLOOKUP('Start Page'!$C$46,'Locality Rates'!$A$2:$C$49,3,FALSE)=1,ROUND(L53*'Start Page'!$C$48,2)*$B$12,0)</f>
        <v>0</v>
      </c>
      <c r="M56" s="17">
        <f>IF(VLOOKUP('Start Page'!$C$46,'Locality Rates'!$A$2:$C$49,3,FALSE)=1,ROUND(M53*'Start Page'!$C$48,2)*$B$12,0)</f>
        <v>0</v>
      </c>
    </row>
    <row r="57" spans="1:13" x14ac:dyDescent="0.2">
      <c r="A57" s="13"/>
      <c r="B57" s="13">
        <f>B52+B54</f>
        <v>144</v>
      </c>
      <c r="C57" s="20" t="s">
        <v>17</v>
      </c>
      <c r="D57" s="21">
        <f t="shared" ref="D57:M57" si="29">D52+D54+D56</f>
        <v>2497.16</v>
      </c>
      <c r="E57" s="21">
        <f t="shared" si="29"/>
        <v>2580.48</v>
      </c>
      <c r="F57" s="21">
        <f t="shared" si="29"/>
        <v>2663.42</v>
      </c>
      <c r="G57" s="21">
        <f t="shared" si="29"/>
        <v>2746.7400000000002</v>
      </c>
      <c r="H57" s="21">
        <f t="shared" si="29"/>
        <v>2829.68</v>
      </c>
      <c r="I57" s="21">
        <f t="shared" si="29"/>
        <v>2913</v>
      </c>
      <c r="J57" s="21">
        <f t="shared" si="29"/>
        <v>2995.94</v>
      </c>
      <c r="K57" s="21">
        <f t="shared" si="29"/>
        <v>3079.26</v>
      </c>
      <c r="L57" s="21">
        <f t="shared" si="29"/>
        <v>3162.2</v>
      </c>
      <c r="M57" s="21">
        <f t="shared" si="29"/>
        <v>3245.52</v>
      </c>
    </row>
    <row r="58" spans="1:13" x14ac:dyDescent="0.2">
      <c r="A58" s="13"/>
      <c r="B58" s="13"/>
      <c r="C58" s="20" t="s">
        <v>33</v>
      </c>
      <c r="D58" s="21">
        <f>D57*'Start Page'!$C$54</f>
        <v>64926.159999999996</v>
      </c>
      <c r="E58" s="21">
        <f>E57*'Start Page'!$C$54</f>
        <v>67092.479999999996</v>
      </c>
      <c r="F58" s="21">
        <f>F57*'Start Page'!$C$54</f>
        <v>69248.92</v>
      </c>
      <c r="G58" s="21">
        <f>G57*'Start Page'!$C$54</f>
        <v>71415.240000000005</v>
      </c>
      <c r="H58" s="21">
        <f>H57*'Start Page'!$C$54</f>
        <v>73571.679999999993</v>
      </c>
      <c r="I58" s="21">
        <f>I57*'Start Page'!$C$54</f>
        <v>75738</v>
      </c>
      <c r="J58" s="21">
        <f>J57*'Start Page'!$C$54</f>
        <v>77894.44</v>
      </c>
      <c r="K58" s="21">
        <f>K57*'Start Page'!$C$54</f>
        <v>80060.760000000009</v>
      </c>
      <c r="L58" s="21">
        <f>L57*'Start Page'!$C$54</f>
        <v>82217.2</v>
      </c>
      <c r="M58" s="21">
        <f>M57*'Start Page'!$C$54</f>
        <v>84383.52</v>
      </c>
    </row>
    <row r="59" spans="1:13" s="26" customFormat="1" x14ac:dyDescent="0.2">
      <c r="A59" s="22"/>
      <c r="B59" s="22"/>
      <c r="C59" s="23" t="s">
        <v>166</v>
      </c>
      <c r="D59" s="24">
        <f>D53*$B$12*'Start Page'!$C$54</f>
        <v>57358.080000000002</v>
      </c>
      <c r="E59" s="24">
        <f>E53*$B$12*'Start Page'!$C$54</f>
        <v>59267.519999999997</v>
      </c>
      <c r="F59" s="24">
        <f>F53*$B$12*'Start Page'!$C$54</f>
        <v>61176.959999999999</v>
      </c>
      <c r="G59" s="24">
        <f>G53*$B$12*'Start Page'!$C$54</f>
        <v>63086.400000000001</v>
      </c>
      <c r="H59" s="24">
        <f>H53*$B$12*'Start Page'!$C$54</f>
        <v>64995.840000000004</v>
      </c>
      <c r="I59" s="24">
        <f>I53*$B$12*'Start Page'!$C$54</f>
        <v>66905.279999999999</v>
      </c>
      <c r="J59" s="24">
        <f>J53*$B$12*'Start Page'!$C$54</f>
        <v>68814.720000000001</v>
      </c>
      <c r="K59" s="24">
        <f>K53*$B$12*'Start Page'!$C$54</f>
        <v>70724.160000000003</v>
      </c>
      <c r="L59" s="24">
        <f>L53*$B$12*'Start Page'!$C$54</f>
        <v>72633.599999999991</v>
      </c>
      <c r="M59" s="25">
        <f>M53*$B$12*'Start Page'!$C$54</f>
        <v>74543.039999999994</v>
      </c>
    </row>
    <row r="60" spans="1:13" x14ac:dyDescent="0.2">
      <c r="A60" s="12" t="s">
        <v>0</v>
      </c>
      <c r="B60" s="12" t="s">
        <v>49</v>
      </c>
      <c r="C60" s="12" t="s">
        <v>1</v>
      </c>
      <c r="D60" s="12" t="s">
        <v>2</v>
      </c>
      <c r="E60" s="12" t="s">
        <v>3</v>
      </c>
      <c r="F60" s="12" t="s">
        <v>4</v>
      </c>
      <c r="G60" s="12" t="s">
        <v>5</v>
      </c>
      <c r="H60" s="12" t="s">
        <v>6</v>
      </c>
      <c r="I60" s="12" t="s">
        <v>7</v>
      </c>
      <c r="J60" s="12" t="s">
        <v>8</v>
      </c>
      <c r="K60" s="12" t="s">
        <v>9</v>
      </c>
      <c r="L60" s="12" t="s">
        <v>10</v>
      </c>
      <c r="M60" s="12" t="s">
        <v>11</v>
      </c>
    </row>
    <row r="61" spans="1:13" x14ac:dyDescent="0.2">
      <c r="A61" s="27"/>
      <c r="B61" s="13"/>
      <c r="C61" s="14" t="s">
        <v>30</v>
      </c>
      <c r="D61" s="15">
        <f>'GS Pay Scale'!B14</f>
        <v>46625</v>
      </c>
      <c r="E61" s="15">
        <f>'GS Pay Scale'!C14</f>
        <v>48179</v>
      </c>
      <c r="F61" s="15">
        <f>'GS Pay Scale'!D14</f>
        <v>49733</v>
      </c>
      <c r="G61" s="15">
        <f>'GS Pay Scale'!E14</f>
        <v>51287</v>
      </c>
      <c r="H61" s="15">
        <f>'GS Pay Scale'!F14</f>
        <v>52841</v>
      </c>
      <c r="I61" s="15">
        <f>'GS Pay Scale'!G14</f>
        <v>54395</v>
      </c>
      <c r="J61" s="15">
        <f>'GS Pay Scale'!H14</f>
        <v>55950</v>
      </c>
      <c r="K61" s="15">
        <f>'GS Pay Scale'!I14</f>
        <v>57504</v>
      </c>
      <c r="L61" s="15">
        <f>'GS Pay Scale'!J14</f>
        <v>59058</v>
      </c>
      <c r="M61" s="15">
        <f>'GS Pay Scale'!K14</f>
        <v>60612</v>
      </c>
    </row>
    <row r="62" spans="1:13" x14ac:dyDescent="0.2">
      <c r="A62" s="13"/>
      <c r="B62" s="13">
        <v>106</v>
      </c>
      <c r="C62" s="16" t="s">
        <v>47</v>
      </c>
      <c r="D62" s="17">
        <f t="shared" ref="D62:M62" si="30">D63*106</f>
        <v>1793.5200000000002</v>
      </c>
      <c r="E62" s="17">
        <f t="shared" si="30"/>
        <v>1852.88</v>
      </c>
      <c r="F62" s="17">
        <f t="shared" si="30"/>
        <v>1913.3000000000002</v>
      </c>
      <c r="G62" s="17">
        <f t="shared" si="30"/>
        <v>1972.6599999999999</v>
      </c>
      <c r="H62" s="17">
        <f t="shared" si="30"/>
        <v>2032.0200000000002</v>
      </c>
      <c r="I62" s="17">
        <f t="shared" si="30"/>
        <v>2092.44</v>
      </c>
      <c r="J62" s="17">
        <f t="shared" si="30"/>
        <v>2151.8000000000002</v>
      </c>
      <c r="K62" s="17">
        <f t="shared" si="30"/>
        <v>2212.2200000000003</v>
      </c>
      <c r="L62" s="17">
        <f t="shared" si="30"/>
        <v>2271.58</v>
      </c>
      <c r="M62" s="17">
        <f t="shared" si="30"/>
        <v>2330.94</v>
      </c>
    </row>
    <row r="63" spans="1:13" x14ac:dyDescent="0.2">
      <c r="A63" s="13"/>
      <c r="B63" s="13"/>
      <c r="C63" s="16" t="s">
        <v>13</v>
      </c>
      <c r="D63" s="17">
        <f t="shared" ref="D63:M63" si="31">ROUND(D61/2756,2)</f>
        <v>16.920000000000002</v>
      </c>
      <c r="E63" s="17">
        <f t="shared" si="31"/>
        <v>17.48</v>
      </c>
      <c r="F63" s="17">
        <f t="shared" si="31"/>
        <v>18.05</v>
      </c>
      <c r="G63" s="17">
        <f t="shared" si="31"/>
        <v>18.61</v>
      </c>
      <c r="H63" s="17">
        <f t="shared" si="31"/>
        <v>19.170000000000002</v>
      </c>
      <c r="I63" s="17">
        <f t="shared" si="31"/>
        <v>19.739999999999998</v>
      </c>
      <c r="J63" s="17">
        <f t="shared" si="31"/>
        <v>20.3</v>
      </c>
      <c r="K63" s="17">
        <f t="shared" si="31"/>
        <v>20.87</v>
      </c>
      <c r="L63" s="17">
        <f t="shared" si="31"/>
        <v>21.43</v>
      </c>
      <c r="M63" s="17">
        <f t="shared" si="31"/>
        <v>21.99</v>
      </c>
    </row>
    <row r="64" spans="1:13" x14ac:dyDescent="0.2">
      <c r="A64" s="18"/>
      <c r="B64" s="19">
        <f>($G$3-53)*2</f>
        <v>38</v>
      </c>
      <c r="C64" s="16" t="s">
        <v>48</v>
      </c>
      <c r="D64" s="17">
        <f t="shared" ref="D64:M64" si="32">D65*$B$9</f>
        <v>964.43999999999994</v>
      </c>
      <c r="E64" s="17">
        <f t="shared" si="32"/>
        <v>996.3599999999999</v>
      </c>
      <c r="F64" s="17">
        <f t="shared" si="32"/>
        <v>1029.04</v>
      </c>
      <c r="G64" s="17">
        <f t="shared" si="32"/>
        <v>1060.96</v>
      </c>
      <c r="H64" s="17">
        <f t="shared" si="32"/>
        <v>1092.8800000000001</v>
      </c>
      <c r="I64" s="17">
        <f t="shared" si="32"/>
        <v>1125.18</v>
      </c>
      <c r="J64" s="17">
        <f t="shared" si="32"/>
        <v>1157.0999999999999</v>
      </c>
      <c r="K64" s="17">
        <f t="shared" si="32"/>
        <v>1189.78</v>
      </c>
      <c r="L64" s="17">
        <f t="shared" si="32"/>
        <v>1221.7</v>
      </c>
      <c r="M64" s="17">
        <f t="shared" si="32"/>
        <v>1253.6200000000001</v>
      </c>
    </row>
    <row r="65" spans="1:13" x14ac:dyDescent="0.2">
      <c r="A65" s="13" t="s">
        <v>21</v>
      </c>
      <c r="B65" s="13"/>
      <c r="C65" s="16" t="s">
        <v>14</v>
      </c>
      <c r="D65" s="17">
        <f>IF(ROUND(D63*1.5,2)&lt;$G$116,ROUND(D63*1.5,2),IF($G$116&lt;D63,D63,$G$116))</f>
        <v>25.38</v>
      </c>
      <c r="E65" s="17">
        <f t="shared" ref="E65:M65" si="33">IF(ROUND(E63*1.5,2)&lt;$G$116,ROUND(E63*1.5,2),IF($G$116&lt;E63,E63,$G$116))</f>
        <v>26.22</v>
      </c>
      <c r="F65" s="17">
        <f t="shared" si="33"/>
        <v>27.08</v>
      </c>
      <c r="G65" s="17">
        <f t="shared" si="33"/>
        <v>27.92</v>
      </c>
      <c r="H65" s="17">
        <f t="shared" si="33"/>
        <v>28.76</v>
      </c>
      <c r="I65" s="17">
        <f t="shared" si="33"/>
        <v>29.61</v>
      </c>
      <c r="J65" s="17">
        <f t="shared" si="33"/>
        <v>30.45</v>
      </c>
      <c r="K65" s="17">
        <f t="shared" si="33"/>
        <v>31.31</v>
      </c>
      <c r="L65" s="17">
        <f t="shared" si="33"/>
        <v>32.15</v>
      </c>
      <c r="M65" s="17">
        <f t="shared" si="33"/>
        <v>32.99</v>
      </c>
    </row>
    <row r="66" spans="1:13" s="75" customFormat="1" x14ac:dyDescent="0.2">
      <c r="A66" s="74"/>
      <c r="B66" s="74"/>
      <c r="C66" s="36" t="s">
        <v>73</v>
      </c>
      <c r="D66" s="17">
        <f>IF(VLOOKUP('Start Page'!$C$46,'Locality Rates'!$A$2:$C$49,3,FALSE)=1,ROUND(D63*'Start Page'!$C$48,2)*$B$12,0)</f>
        <v>0</v>
      </c>
      <c r="E66" s="17">
        <f>IF(VLOOKUP('Start Page'!$C$46,'Locality Rates'!$A$2:$C$49,3,FALSE)=1,ROUND(E63*'Start Page'!$C$48,2)*$B$12,0)</f>
        <v>0</v>
      </c>
      <c r="F66" s="17">
        <f>IF(VLOOKUP('Start Page'!$C$46,'Locality Rates'!$A$2:$C$49,3,FALSE)=1,ROUND(F63*'Start Page'!$C$48,2)*$B$12,0)</f>
        <v>0</v>
      </c>
      <c r="G66" s="17">
        <f>IF(VLOOKUP('Start Page'!$C$46,'Locality Rates'!$A$2:$C$49,3,FALSE)=1,ROUND(G63*'Start Page'!$C$48,2)*$B$12,0)</f>
        <v>0</v>
      </c>
      <c r="H66" s="17">
        <f>IF(VLOOKUP('Start Page'!$C$46,'Locality Rates'!$A$2:$C$49,3,FALSE)=1,ROUND(H63*'Start Page'!$C$48,2)*$B$12,0)</f>
        <v>0</v>
      </c>
      <c r="I66" s="17">
        <f>IF(VLOOKUP('Start Page'!$C$46,'Locality Rates'!$A$2:$C$49,3,FALSE)=1,ROUND(I63*'Start Page'!$C$48,2)*$B$12,0)</f>
        <v>0</v>
      </c>
      <c r="J66" s="17">
        <f>IF(VLOOKUP('Start Page'!$C$46,'Locality Rates'!$A$2:$C$49,3,FALSE)=1,ROUND(J63*'Start Page'!$C$48,2)*$B$12,0)</f>
        <v>0</v>
      </c>
      <c r="K66" s="17">
        <f>IF(VLOOKUP('Start Page'!$C$46,'Locality Rates'!$A$2:$C$49,3,FALSE)=1,ROUND(K63*'Start Page'!$C$48,2)*$B$12,0)</f>
        <v>0</v>
      </c>
      <c r="L66" s="17">
        <f>IF(VLOOKUP('Start Page'!$C$46,'Locality Rates'!$A$2:$C$49,3,FALSE)=1,ROUND(L63*'Start Page'!$C$48,2)*$B$12,0)</f>
        <v>0</v>
      </c>
      <c r="M66" s="17">
        <f>IF(VLOOKUP('Start Page'!$C$46,'Locality Rates'!$A$2:$C$49,3,FALSE)=1,ROUND(M63*'Start Page'!$C$48,2)*$B$12,0)</f>
        <v>0</v>
      </c>
    </row>
    <row r="67" spans="1:13" x14ac:dyDescent="0.2">
      <c r="A67" s="13"/>
      <c r="B67" s="13">
        <f>B62+B64</f>
        <v>144</v>
      </c>
      <c r="C67" s="20" t="s">
        <v>17</v>
      </c>
      <c r="D67" s="21">
        <f t="shared" ref="D67:M67" si="34">D62+D64+D66</f>
        <v>2757.96</v>
      </c>
      <c r="E67" s="21">
        <f t="shared" si="34"/>
        <v>2849.24</v>
      </c>
      <c r="F67" s="21">
        <f t="shared" si="34"/>
        <v>2942.34</v>
      </c>
      <c r="G67" s="21">
        <f t="shared" si="34"/>
        <v>3033.62</v>
      </c>
      <c r="H67" s="21">
        <f t="shared" si="34"/>
        <v>3124.9000000000005</v>
      </c>
      <c r="I67" s="21">
        <f t="shared" si="34"/>
        <v>3217.62</v>
      </c>
      <c r="J67" s="21">
        <f t="shared" si="34"/>
        <v>3308.9</v>
      </c>
      <c r="K67" s="21">
        <f t="shared" si="34"/>
        <v>3402</v>
      </c>
      <c r="L67" s="21">
        <f t="shared" si="34"/>
        <v>3493.2799999999997</v>
      </c>
      <c r="M67" s="21">
        <f t="shared" si="34"/>
        <v>3584.5600000000004</v>
      </c>
    </row>
    <row r="68" spans="1:13" x14ac:dyDescent="0.2">
      <c r="A68" s="13"/>
      <c r="B68" s="13"/>
      <c r="C68" s="20" t="s">
        <v>33</v>
      </c>
      <c r="D68" s="21">
        <f>D67*'Start Page'!$C$54</f>
        <v>71706.960000000006</v>
      </c>
      <c r="E68" s="21">
        <f>E67*'Start Page'!$C$54</f>
        <v>74080.239999999991</v>
      </c>
      <c r="F68" s="21">
        <f>F67*'Start Page'!$C$54</f>
        <v>76500.84</v>
      </c>
      <c r="G68" s="21">
        <f>G67*'Start Page'!$C$54</f>
        <v>78874.12</v>
      </c>
      <c r="H68" s="21">
        <f>H67*'Start Page'!$C$54</f>
        <v>81247.400000000009</v>
      </c>
      <c r="I68" s="21">
        <f>I67*'Start Page'!$C$54</f>
        <v>83658.12</v>
      </c>
      <c r="J68" s="21">
        <f>J67*'Start Page'!$C$54</f>
        <v>86031.400000000009</v>
      </c>
      <c r="K68" s="21">
        <f>K67*'Start Page'!$C$54</f>
        <v>88452</v>
      </c>
      <c r="L68" s="21">
        <f>L67*'Start Page'!$C$54</f>
        <v>90825.279999999999</v>
      </c>
      <c r="M68" s="21">
        <f>M67*'Start Page'!$C$54</f>
        <v>93198.560000000012</v>
      </c>
    </row>
    <row r="69" spans="1:13" s="26" customFormat="1" x14ac:dyDescent="0.2">
      <c r="A69" s="22"/>
      <c r="B69" s="22"/>
      <c r="C69" s="23" t="s">
        <v>166</v>
      </c>
      <c r="D69" s="24">
        <f>D63*$B$12*'Start Page'!$C$54</f>
        <v>63348.48000000001</v>
      </c>
      <c r="E69" s="24">
        <f>E63*$B$12*'Start Page'!$C$54</f>
        <v>65445.119999999995</v>
      </c>
      <c r="F69" s="24">
        <f>F63*$B$12*'Start Page'!$C$54</f>
        <v>67579.200000000012</v>
      </c>
      <c r="G69" s="24">
        <f>G63*$B$12*'Start Page'!$C$54</f>
        <v>69675.839999999997</v>
      </c>
      <c r="H69" s="24">
        <f>H63*$B$12*'Start Page'!$C$54</f>
        <v>71772.48000000001</v>
      </c>
      <c r="I69" s="24">
        <f>I63*$B$12*'Start Page'!$C$54</f>
        <v>73906.559999999998</v>
      </c>
      <c r="J69" s="24">
        <f>J63*$B$12*'Start Page'!$C$54</f>
        <v>76003.200000000012</v>
      </c>
      <c r="K69" s="24">
        <f>K63*$B$12*'Start Page'!$C$54</f>
        <v>78137.279999999999</v>
      </c>
      <c r="L69" s="24">
        <f>L63*$B$12*'Start Page'!$C$54</f>
        <v>80233.919999999998</v>
      </c>
      <c r="M69" s="25">
        <f>M63*$B$12*'Start Page'!$C$54</f>
        <v>82330.559999999998</v>
      </c>
    </row>
    <row r="70" spans="1:13" x14ac:dyDescent="0.2">
      <c r="A70" s="13"/>
      <c r="B70" s="13"/>
      <c r="C70" s="14" t="s">
        <v>30</v>
      </c>
      <c r="D70" s="28">
        <f>'GS Pay Scale'!B15</f>
        <v>51345</v>
      </c>
      <c r="E70" s="28">
        <f>'GS Pay Scale'!C15</f>
        <v>53056</v>
      </c>
      <c r="F70" s="28">
        <f>'GS Pay Scale'!D15</f>
        <v>54768</v>
      </c>
      <c r="G70" s="28">
        <f>'GS Pay Scale'!E15</f>
        <v>56479</v>
      </c>
      <c r="H70" s="28">
        <f>'GS Pay Scale'!F15</f>
        <v>58190</v>
      </c>
      <c r="I70" s="28">
        <f>'GS Pay Scale'!G15</f>
        <v>59902</v>
      </c>
      <c r="J70" s="28">
        <f>'GS Pay Scale'!H15</f>
        <v>61613</v>
      </c>
      <c r="K70" s="28">
        <f>'GS Pay Scale'!I15</f>
        <v>63324</v>
      </c>
      <c r="L70" s="28">
        <f>'GS Pay Scale'!J15</f>
        <v>65036</v>
      </c>
      <c r="M70" s="28">
        <f>'GS Pay Scale'!K15</f>
        <v>66747</v>
      </c>
    </row>
    <row r="71" spans="1:13" x14ac:dyDescent="0.2">
      <c r="A71" s="13"/>
      <c r="B71" s="13">
        <v>106</v>
      </c>
      <c r="C71" s="16" t="s">
        <v>47</v>
      </c>
      <c r="D71" s="17">
        <f t="shared" ref="D71:M71" si="35">D72*106</f>
        <v>1974.78</v>
      </c>
      <c r="E71" s="17">
        <f t="shared" si="35"/>
        <v>2040.5</v>
      </c>
      <c r="F71" s="17">
        <f t="shared" si="35"/>
        <v>2106.2200000000003</v>
      </c>
      <c r="G71" s="17">
        <f t="shared" si="35"/>
        <v>2171.94</v>
      </c>
      <c r="H71" s="17">
        <f t="shared" si="35"/>
        <v>2237.66</v>
      </c>
      <c r="I71" s="17">
        <f t="shared" si="35"/>
        <v>2304.44</v>
      </c>
      <c r="J71" s="17">
        <f t="shared" si="35"/>
        <v>2370.16</v>
      </c>
      <c r="K71" s="17">
        <f t="shared" si="35"/>
        <v>2435.88</v>
      </c>
      <c r="L71" s="17">
        <f t="shared" si="35"/>
        <v>2501.6000000000004</v>
      </c>
      <c r="M71" s="17">
        <f t="shared" si="35"/>
        <v>2567.3199999999997</v>
      </c>
    </row>
    <row r="72" spans="1:13" x14ac:dyDescent="0.2">
      <c r="A72" s="13"/>
      <c r="B72" s="13"/>
      <c r="C72" s="16" t="s">
        <v>13</v>
      </c>
      <c r="D72" s="17">
        <f t="shared" ref="D72:M72" si="36">ROUND(D70/2756,2)</f>
        <v>18.63</v>
      </c>
      <c r="E72" s="17">
        <f t="shared" si="36"/>
        <v>19.25</v>
      </c>
      <c r="F72" s="17">
        <f t="shared" si="36"/>
        <v>19.87</v>
      </c>
      <c r="G72" s="17">
        <f t="shared" si="36"/>
        <v>20.49</v>
      </c>
      <c r="H72" s="17">
        <f t="shared" si="36"/>
        <v>21.11</v>
      </c>
      <c r="I72" s="17">
        <f t="shared" si="36"/>
        <v>21.74</v>
      </c>
      <c r="J72" s="17">
        <f t="shared" si="36"/>
        <v>22.36</v>
      </c>
      <c r="K72" s="17">
        <f t="shared" si="36"/>
        <v>22.98</v>
      </c>
      <c r="L72" s="17">
        <f t="shared" si="36"/>
        <v>23.6</v>
      </c>
      <c r="M72" s="17">
        <f t="shared" si="36"/>
        <v>24.22</v>
      </c>
    </row>
    <row r="73" spans="1:13" x14ac:dyDescent="0.2">
      <c r="A73" s="18"/>
      <c r="B73" s="19">
        <f>($G$3-53)*2</f>
        <v>38</v>
      </c>
      <c r="C73" s="16" t="s">
        <v>48</v>
      </c>
      <c r="D73" s="17">
        <f t="shared" ref="D73:M73" si="37">D74*$B$9</f>
        <v>1062.0999999999999</v>
      </c>
      <c r="E73" s="17">
        <f t="shared" si="37"/>
        <v>1097.44</v>
      </c>
      <c r="F73" s="17">
        <f t="shared" si="37"/>
        <v>1132.78</v>
      </c>
      <c r="G73" s="17">
        <f t="shared" si="37"/>
        <v>1168.1199999999999</v>
      </c>
      <c r="H73" s="17">
        <f t="shared" si="37"/>
        <v>1203.46</v>
      </c>
      <c r="I73" s="17">
        <f t="shared" si="37"/>
        <v>1239.18</v>
      </c>
      <c r="J73" s="17">
        <f t="shared" si="37"/>
        <v>1274.52</v>
      </c>
      <c r="K73" s="17">
        <f t="shared" si="37"/>
        <v>1309.8599999999999</v>
      </c>
      <c r="L73" s="17">
        <f t="shared" si="37"/>
        <v>1345.2</v>
      </c>
      <c r="M73" s="17">
        <f t="shared" si="37"/>
        <v>1380.54</v>
      </c>
    </row>
    <row r="74" spans="1:13" x14ac:dyDescent="0.2">
      <c r="A74" s="13" t="s">
        <v>25</v>
      </c>
      <c r="B74" s="13"/>
      <c r="C74" s="16" t="s">
        <v>14</v>
      </c>
      <c r="D74" s="17">
        <f>IF(ROUND(D72*1.5,2)&lt;$G$116,ROUND(D72*1.5,2),IF($G$116&lt;D72,D72,$G$116))</f>
        <v>27.95</v>
      </c>
      <c r="E74" s="17">
        <f t="shared" ref="E74:M74" si="38">IF(ROUND(E72*1.5,2)&lt;$G$116,ROUND(E72*1.5,2),IF($G$116&lt;E72,E72,$G$116))</f>
        <v>28.88</v>
      </c>
      <c r="F74" s="17">
        <f t="shared" si="38"/>
        <v>29.81</v>
      </c>
      <c r="G74" s="17">
        <f t="shared" si="38"/>
        <v>30.74</v>
      </c>
      <c r="H74" s="17">
        <f t="shared" si="38"/>
        <v>31.67</v>
      </c>
      <c r="I74" s="17">
        <f t="shared" si="38"/>
        <v>32.61</v>
      </c>
      <c r="J74" s="17">
        <f t="shared" si="38"/>
        <v>33.54</v>
      </c>
      <c r="K74" s="17">
        <f t="shared" si="38"/>
        <v>34.47</v>
      </c>
      <c r="L74" s="17">
        <f t="shared" si="38"/>
        <v>35.4</v>
      </c>
      <c r="M74" s="17">
        <f t="shared" si="38"/>
        <v>36.33</v>
      </c>
    </row>
    <row r="75" spans="1:13" s="75" customFormat="1" x14ac:dyDescent="0.2">
      <c r="A75" s="74"/>
      <c r="B75" s="74"/>
      <c r="C75" s="36" t="s">
        <v>73</v>
      </c>
      <c r="D75" s="17">
        <f>IF(VLOOKUP('Start Page'!$C$46,'Locality Rates'!$A$2:$C$49,3,FALSE)=1,ROUND(D72*'Start Page'!$C$48,2)*$B$12,0)</f>
        <v>0</v>
      </c>
      <c r="E75" s="17">
        <f>IF(VLOOKUP('Start Page'!$C$46,'Locality Rates'!$A$2:$C$49,3,FALSE)=1,ROUND(E72*'Start Page'!$C$48,2)*$B$12,0)</f>
        <v>0</v>
      </c>
      <c r="F75" s="17">
        <f>IF(VLOOKUP('Start Page'!$C$46,'Locality Rates'!$A$2:$C$49,3,FALSE)=1,ROUND(F72*'Start Page'!$C$48,2)*$B$12,0)</f>
        <v>0</v>
      </c>
      <c r="G75" s="17">
        <f>IF(VLOOKUP('Start Page'!$C$46,'Locality Rates'!$A$2:$C$49,3,FALSE)=1,ROUND(G72*'Start Page'!$C$48,2)*$B$12,0)</f>
        <v>0</v>
      </c>
      <c r="H75" s="17">
        <f>IF(VLOOKUP('Start Page'!$C$46,'Locality Rates'!$A$2:$C$49,3,FALSE)=1,ROUND(H72*'Start Page'!$C$48,2)*$B$12,0)</f>
        <v>0</v>
      </c>
      <c r="I75" s="17">
        <f>IF(VLOOKUP('Start Page'!$C$46,'Locality Rates'!$A$2:$C$49,3,FALSE)=1,ROUND(I72*'Start Page'!$C$48,2)*$B$12,0)</f>
        <v>0</v>
      </c>
      <c r="J75" s="17">
        <f>IF(VLOOKUP('Start Page'!$C$46,'Locality Rates'!$A$2:$C$49,3,FALSE)=1,ROUND(J72*'Start Page'!$C$48,2)*$B$12,0)</f>
        <v>0</v>
      </c>
      <c r="K75" s="17">
        <f>IF(VLOOKUP('Start Page'!$C$46,'Locality Rates'!$A$2:$C$49,3,FALSE)=1,ROUND(K72*'Start Page'!$C$48,2)*$B$12,0)</f>
        <v>0</v>
      </c>
      <c r="L75" s="17">
        <f>IF(VLOOKUP('Start Page'!$C$46,'Locality Rates'!$A$2:$C$49,3,FALSE)=1,ROUND(L72*'Start Page'!$C$48,2)*$B$12,0)</f>
        <v>0</v>
      </c>
      <c r="M75" s="17">
        <f>IF(VLOOKUP('Start Page'!$C$46,'Locality Rates'!$A$2:$C$49,3,FALSE)=1,ROUND(M72*'Start Page'!$C$48,2)*$B$12,0)</f>
        <v>0</v>
      </c>
    </row>
    <row r="76" spans="1:13" x14ac:dyDescent="0.2">
      <c r="A76" s="13"/>
      <c r="B76" s="13">
        <f>B71+B73</f>
        <v>144</v>
      </c>
      <c r="C76" s="20" t="s">
        <v>17</v>
      </c>
      <c r="D76" s="21">
        <f t="shared" ref="D76:M76" si="39">D71+D73+D75</f>
        <v>3036.88</v>
      </c>
      <c r="E76" s="21">
        <f t="shared" si="39"/>
        <v>3137.94</v>
      </c>
      <c r="F76" s="21">
        <f t="shared" si="39"/>
        <v>3239</v>
      </c>
      <c r="G76" s="21">
        <f t="shared" si="39"/>
        <v>3340.06</v>
      </c>
      <c r="H76" s="21">
        <f t="shared" si="39"/>
        <v>3441.12</v>
      </c>
      <c r="I76" s="21">
        <f t="shared" si="39"/>
        <v>3543.62</v>
      </c>
      <c r="J76" s="21">
        <f t="shared" si="39"/>
        <v>3644.68</v>
      </c>
      <c r="K76" s="21">
        <f t="shared" si="39"/>
        <v>3745.74</v>
      </c>
      <c r="L76" s="21">
        <f t="shared" si="39"/>
        <v>3846.8</v>
      </c>
      <c r="M76" s="21">
        <f t="shared" si="39"/>
        <v>3947.8599999999997</v>
      </c>
    </row>
    <row r="77" spans="1:13" x14ac:dyDescent="0.2">
      <c r="A77" s="13"/>
      <c r="B77" s="13"/>
      <c r="C77" s="20" t="s">
        <v>33</v>
      </c>
      <c r="D77" s="21">
        <f>D76*'Start Page'!$C$54</f>
        <v>78958.880000000005</v>
      </c>
      <c r="E77" s="21">
        <f>E76*'Start Page'!$C$54</f>
        <v>81586.44</v>
      </c>
      <c r="F77" s="21">
        <f>F76*'Start Page'!$C$54</f>
        <v>84214</v>
      </c>
      <c r="G77" s="21">
        <f>G76*'Start Page'!$C$54</f>
        <v>86841.56</v>
      </c>
      <c r="H77" s="21">
        <f>H76*'Start Page'!$C$54</f>
        <v>89469.119999999995</v>
      </c>
      <c r="I77" s="21">
        <f>I76*'Start Page'!$C$54</f>
        <v>92134.12</v>
      </c>
      <c r="J77" s="21">
        <f>J76*'Start Page'!$C$54</f>
        <v>94761.68</v>
      </c>
      <c r="K77" s="21">
        <f>K76*'Start Page'!$C$54</f>
        <v>97389.239999999991</v>
      </c>
      <c r="L77" s="21">
        <f>L76*'Start Page'!$C$54</f>
        <v>100016.8</v>
      </c>
      <c r="M77" s="21">
        <f>M76*'Start Page'!$C$54</f>
        <v>102644.35999999999</v>
      </c>
    </row>
    <row r="78" spans="1:13" s="26" customFormat="1" x14ac:dyDescent="0.2">
      <c r="A78" s="22"/>
      <c r="B78" s="22"/>
      <c r="C78" s="23" t="s">
        <v>166</v>
      </c>
      <c r="D78" s="24">
        <f>D72*$B$12*'Start Page'!$C$54</f>
        <v>69750.720000000001</v>
      </c>
      <c r="E78" s="24">
        <f>E72*$B$12*'Start Page'!$C$54</f>
        <v>72072</v>
      </c>
      <c r="F78" s="24">
        <f>F72*$B$12*'Start Page'!$C$54</f>
        <v>74393.279999999999</v>
      </c>
      <c r="G78" s="24">
        <f>G72*$B$12*'Start Page'!$C$54</f>
        <v>76714.559999999998</v>
      </c>
      <c r="H78" s="24">
        <f>H72*$B$12*'Start Page'!$C$54</f>
        <v>79035.839999999997</v>
      </c>
      <c r="I78" s="24">
        <f>I72*$B$12*'Start Page'!$C$54</f>
        <v>81394.559999999998</v>
      </c>
      <c r="J78" s="24">
        <f>J72*$B$12*'Start Page'!$C$54</f>
        <v>83715.839999999997</v>
      </c>
      <c r="K78" s="24">
        <f>K72*$B$12*'Start Page'!$C$54</f>
        <v>86037.119999999995</v>
      </c>
      <c r="L78" s="24">
        <f>L72*$B$12*'Start Page'!$C$54</f>
        <v>88358.400000000009</v>
      </c>
      <c r="M78" s="25">
        <f>M72*$B$12*'Start Page'!$C$54</f>
        <v>90679.679999999993</v>
      </c>
    </row>
    <row r="79" spans="1:13" x14ac:dyDescent="0.2">
      <c r="A79" s="13"/>
      <c r="B79" s="13"/>
      <c r="C79" s="14" t="s">
        <v>30</v>
      </c>
      <c r="D79" s="28">
        <f>'GS Pay Scale'!B16</f>
        <v>56411</v>
      </c>
      <c r="E79" s="28">
        <f>'GS Pay Scale'!C16</f>
        <v>58291</v>
      </c>
      <c r="F79" s="28">
        <f>'GS Pay Scale'!D16</f>
        <v>60170</v>
      </c>
      <c r="G79" s="28">
        <f>'GS Pay Scale'!E16</f>
        <v>62050</v>
      </c>
      <c r="H79" s="28">
        <f>'GS Pay Scale'!F16</f>
        <v>63930</v>
      </c>
      <c r="I79" s="28">
        <f>'GS Pay Scale'!G16</f>
        <v>65810</v>
      </c>
      <c r="J79" s="28">
        <f>'GS Pay Scale'!H16</f>
        <v>67690</v>
      </c>
      <c r="K79" s="28">
        <f>'GS Pay Scale'!I16</f>
        <v>69570</v>
      </c>
      <c r="L79" s="28">
        <f>'GS Pay Scale'!J16</f>
        <v>71449</v>
      </c>
      <c r="M79" s="28">
        <f>'GS Pay Scale'!K16</f>
        <v>73329</v>
      </c>
    </row>
    <row r="80" spans="1:13" x14ac:dyDescent="0.2">
      <c r="A80" s="13"/>
      <c r="B80" s="13">
        <v>106</v>
      </c>
      <c r="C80" s="16" t="s">
        <v>47</v>
      </c>
      <c r="D80" s="17">
        <f>D81*106</f>
        <v>2169.8199999999997</v>
      </c>
      <c r="E80" s="17">
        <f t="shared" ref="E80:K80" si="40">E81*106</f>
        <v>2241.8999999999996</v>
      </c>
      <c r="F80" s="17">
        <f t="shared" si="40"/>
        <v>2313.98</v>
      </c>
      <c r="G80" s="17">
        <f t="shared" si="40"/>
        <v>2386.06</v>
      </c>
      <c r="H80" s="17">
        <f t="shared" si="40"/>
        <v>2459.1999999999998</v>
      </c>
      <c r="I80" s="17">
        <f t="shared" si="40"/>
        <v>2531.2799999999997</v>
      </c>
      <c r="J80" s="17">
        <f t="shared" si="40"/>
        <v>2603.3599999999997</v>
      </c>
      <c r="K80" s="17">
        <f t="shared" si="40"/>
        <v>2675.44</v>
      </c>
      <c r="L80" s="17">
        <f>L81*106</f>
        <v>2747.52</v>
      </c>
      <c r="M80" s="17">
        <f>M81*106</f>
        <v>2820.66</v>
      </c>
    </row>
    <row r="81" spans="1:13" x14ac:dyDescent="0.2">
      <c r="A81" s="13"/>
      <c r="B81" s="13"/>
      <c r="C81" s="16" t="s">
        <v>13</v>
      </c>
      <c r="D81" s="17">
        <f t="shared" ref="D81:M81" si="41">ROUND(D79/2756,2)</f>
        <v>20.47</v>
      </c>
      <c r="E81" s="17">
        <f t="shared" si="41"/>
        <v>21.15</v>
      </c>
      <c r="F81" s="17">
        <f t="shared" si="41"/>
        <v>21.83</v>
      </c>
      <c r="G81" s="17">
        <f t="shared" si="41"/>
        <v>22.51</v>
      </c>
      <c r="H81" s="17">
        <f t="shared" si="41"/>
        <v>23.2</v>
      </c>
      <c r="I81" s="17">
        <f t="shared" si="41"/>
        <v>23.88</v>
      </c>
      <c r="J81" s="17">
        <f t="shared" si="41"/>
        <v>24.56</v>
      </c>
      <c r="K81" s="17">
        <f t="shared" si="41"/>
        <v>25.24</v>
      </c>
      <c r="L81" s="17">
        <f t="shared" si="41"/>
        <v>25.92</v>
      </c>
      <c r="M81" s="17">
        <f t="shared" si="41"/>
        <v>26.61</v>
      </c>
    </row>
    <row r="82" spans="1:13" x14ac:dyDescent="0.2">
      <c r="A82" s="18"/>
      <c r="B82" s="19">
        <f>($G$3-53)*2</f>
        <v>38</v>
      </c>
      <c r="C82" s="16" t="s">
        <v>48</v>
      </c>
      <c r="D82" s="17">
        <f t="shared" ref="D82:M82" si="42">D83*$B$9</f>
        <v>1166.98</v>
      </c>
      <c r="E82" s="17">
        <f t="shared" si="42"/>
        <v>1205.74</v>
      </c>
      <c r="F82" s="17">
        <f t="shared" si="42"/>
        <v>1244.5</v>
      </c>
      <c r="G82" s="17">
        <f t="shared" si="42"/>
        <v>1283.2600000000002</v>
      </c>
      <c r="H82" s="17">
        <f t="shared" si="42"/>
        <v>1322.3999999999999</v>
      </c>
      <c r="I82" s="17">
        <f t="shared" si="42"/>
        <v>1361.16</v>
      </c>
      <c r="J82" s="17">
        <f t="shared" si="42"/>
        <v>1399.92</v>
      </c>
      <c r="K82" s="17">
        <f t="shared" si="42"/>
        <v>1402.2</v>
      </c>
      <c r="L82" s="17">
        <f t="shared" si="42"/>
        <v>1402.2</v>
      </c>
      <c r="M82" s="17">
        <f t="shared" si="42"/>
        <v>1402.2</v>
      </c>
    </row>
    <row r="83" spans="1:13" x14ac:dyDescent="0.2">
      <c r="A83" s="13" t="s">
        <v>16</v>
      </c>
      <c r="B83" s="13"/>
      <c r="C83" s="16" t="s">
        <v>14</v>
      </c>
      <c r="D83" s="17">
        <f>IF(ROUND(D81*1.5,2)&lt;$G$116,ROUND(D81*1.5,2),IF($G$116&lt;D81,D81,$G$116))</f>
        <v>30.71</v>
      </c>
      <c r="E83" s="17">
        <f t="shared" ref="E83:M83" si="43">IF(ROUND(E81*1.5,2)&lt;$G$116,ROUND(E81*1.5,2),IF($G$116&lt;E81,E81,$G$116))</f>
        <v>31.73</v>
      </c>
      <c r="F83" s="17">
        <f t="shared" si="43"/>
        <v>32.75</v>
      </c>
      <c r="G83" s="17">
        <f t="shared" si="43"/>
        <v>33.770000000000003</v>
      </c>
      <c r="H83" s="17">
        <f t="shared" si="43"/>
        <v>34.799999999999997</v>
      </c>
      <c r="I83" s="17">
        <f t="shared" si="43"/>
        <v>35.82</v>
      </c>
      <c r="J83" s="17">
        <f t="shared" si="43"/>
        <v>36.840000000000003</v>
      </c>
      <c r="K83" s="17">
        <f t="shared" si="43"/>
        <v>36.9</v>
      </c>
      <c r="L83" s="17">
        <f t="shared" si="43"/>
        <v>36.9</v>
      </c>
      <c r="M83" s="17">
        <f t="shared" si="43"/>
        <v>36.9</v>
      </c>
    </row>
    <row r="84" spans="1:13" s="75" customFormat="1" x14ac:dyDescent="0.2">
      <c r="A84" s="74"/>
      <c r="B84" s="74"/>
      <c r="C84" s="36" t="s">
        <v>73</v>
      </c>
      <c r="D84" s="17">
        <f>IF(VLOOKUP('Start Page'!$C$46,'Locality Rates'!$A$2:$C$49,3,FALSE)=1,ROUND(D81*'Start Page'!$C$48,2)*$B$12,0)</f>
        <v>0</v>
      </c>
      <c r="E84" s="17">
        <f>IF(VLOOKUP('Start Page'!$C$46,'Locality Rates'!$A$2:$C$49,3,FALSE)=1,ROUND(E81*'Start Page'!$C$48,2)*$B$12,0)</f>
        <v>0</v>
      </c>
      <c r="F84" s="17">
        <f>IF(VLOOKUP('Start Page'!$C$46,'Locality Rates'!$A$2:$C$49,3,FALSE)=1,ROUND(F81*'Start Page'!$C$48,2)*$B$12,0)</f>
        <v>0</v>
      </c>
      <c r="G84" s="17">
        <f>IF(VLOOKUP('Start Page'!$C$46,'Locality Rates'!$A$2:$C$49,3,FALSE)=1,ROUND(G81*'Start Page'!$C$48,2)*$B$12,0)</f>
        <v>0</v>
      </c>
      <c r="H84" s="17">
        <f>IF(VLOOKUP('Start Page'!$C$46,'Locality Rates'!$A$2:$C$49,3,FALSE)=1,ROUND(H81*'Start Page'!$C$48,2)*$B$12,0)</f>
        <v>0</v>
      </c>
      <c r="I84" s="17">
        <f>IF(VLOOKUP('Start Page'!$C$46,'Locality Rates'!$A$2:$C$49,3,FALSE)=1,ROUND(I81*'Start Page'!$C$48,2)*$B$12,0)</f>
        <v>0</v>
      </c>
      <c r="J84" s="17">
        <f>IF(VLOOKUP('Start Page'!$C$46,'Locality Rates'!$A$2:$C$49,3,FALSE)=1,ROUND(J81*'Start Page'!$C$48,2)*$B$12,0)</f>
        <v>0</v>
      </c>
      <c r="K84" s="17">
        <f>IF(VLOOKUP('Start Page'!$C$46,'Locality Rates'!$A$2:$C$49,3,FALSE)=1,ROUND(K81*'Start Page'!$C$48,2)*$B$12,0)</f>
        <v>0</v>
      </c>
      <c r="L84" s="17">
        <f>IF(VLOOKUP('Start Page'!$C$46,'Locality Rates'!$A$2:$C$49,3,FALSE)=1,ROUND(L81*'Start Page'!$C$48,2)*$B$12,0)</f>
        <v>0</v>
      </c>
      <c r="M84" s="17">
        <f>IF(VLOOKUP('Start Page'!$C$46,'Locality Rates'!$A$2:$C$49,3,FALSE)=1,ROUND(M81*'Start Page'!$C$48,2)*$B$12,0)</f>
        <v>0</v>
      </c>
    </row>
    <row r="85" spans="1:13" x14ac:dyDescent="0.2">
      <c r="A85" s="13"/>
      <c r="B85" s="13">
        <f>B80+B82</f>
        <v>144</v>
      </c>
      <c r="C85" s="20" t="s">
        <v>17</v>
      </c>
      <c r="D85" s="21">
        <f t="shared" ref="D85:M85" si="44">D80+D82+D84</f>
        <v>3336.7999999999997</v>
      </c>
      <c r="E85" s="21">
        <f t="shared" si="44"/>
        <v>3447.6399999999994</v>
      </c>
      <c r="F85" s="21">
        <f t="shared" si="44"/>
        <v>3558.48</v>
      </c>
      <c r="G85" s="21">
        <f t="shared" si="44"/>
        <v>3669.32</v>
      </c>
      <c r="H85" s="21">
        <f t="shared" si="44"/>
        <v>3781.5999999999995</v>
      </c>
      <c r="I85" s="21">
        <f t="shared" si="44"/>
        <v>3892.4399999999996</v>
      </c>
      <c r="J85" s="21">
        <f t="shared" si="44"/>
        <v>4003.2799999999997</v>
      </c>
      <c r="K85" s="21">
        <f t="shared" si="44"/>
        <v>4077.6400000000003</v>
      </c>
      <c r="L85" s="21">
        <f t="shared" si="44"/>
        <v>4149.72</v>
      </c>
      <c r="M85" s="21">
        <f t="shared" si="44"/>
        <v>4222.8599999999997</v>
      </c>
    </row>
    <row r="86" spans="1:13" x14ac:dyDescent="0.2">
      <c r="A86" s="13"/>
      <c r="B86" s="13"/>
      <c r="C86" s="20" t="s">
        <v>33</v>
      </c>
      <c r="D86" s="21">
        <f>D85*'Start Page'!$C$54</f>
        <v>86756.799999999988</v>
      </c>
      <c r="E86" s="21">
        <f>E85*'Start Page'!$C$54</f>
        <v>89638.639999999985</v>
      </c>
      <c r="F86" s="21">
        <f>F85*'Start Page'!$C$54</f>
        <v>92520.48</v>
      </c>
      <c r="G86" s="21">
        <f>G85*'Start Page'!$C$54</f>
        <v>95402.32</v>
      </c>
      <c r="H86" s="21">
        <f>H85*'Start Page'!$C$54</f>
        <v>98321.599999999991</v>
      </c>
      <c r="I86" s="21">
        <f>I85*'Start Page'!$C$54</f>
        <v>101203.43999999999</v>
      </c>
      <c r="J86" s="21">
        <f>J85*'Start Page'!$C$54</f>
        <v>104085.28</v>
      </c>
      <c r="K86" s="21">
        <f>K85*'Start Page'!$C$54</f>
        <v>106018.64000000001</v>
      </c>
      <c r="L86" s="21">
        <f>L85*'Start Page'!$C$54</f>
        <v>107892.72</v>
      </c>
      <c r="M86" s="21">
        <f>M85*'Start Page'!$C$54</f>
        <v>109794.35999999999</v>
      </c>
    </row>
    <row r="87" spans="1:13" s="26" customFormat="1" x14ac:dyDescent="0.2">
      <c r="A87" s="22"/>
      <c r="B87" s="22"/>
      <c r="C87" s="23" t="s">
        <v>166</v>
      </c>
      <c r="D87" s="24">
        <f>D81*$B$12*'Start Page'!$C$54</f>
        <v>76639.679999999993</v>
      </c>
      <c r="E87" s="24">
        <f>E81*$B$12*'Start Page'!$C$54</f>
        <v>79185.599999999991</v>
      </c>
      <c r="F87" s="24">
        <f>F81*$B$12*'Start Page'!$C$54</f>
        <v>81731.51999999999</v>
      </c>
      <c r="G87" s="24">
        <f>G81*$B$12*'Start Page'!$C$54</f>
        <v>84277.440000000002</v>
      </c>
      <c r="H87" s="24">
        <f>H81*$B$12*'Start Page'!$C$54</f>
        <v>86860.799999999988</v>
      </c>
      <c r="I87" s="24">
        <f>I81*$B$12*'Start Page'!$C$54</f>
        <v>89406.720000000001</v>
      </c>
      <c r="J87" s="24">
        <f>J81*$B$12*'Start Page'!$C$54</f>
        <v>91952.639999999999</v>
      </c>
      <c r="K87" s="24">
        <f>K81*$B$12*'Start Page'!$C$54</f>
        <v>94498.559999999998</v>
      </c>
      <c r="L87" s="24">
        <f>L81*$B$12*'Start Page'!$C$54</f>
        <v>97044.48000000001</v>
      </c>
      <c r="M87" s="25">
        <f>M81*$B$12*'Start Page'!$C$54</f>
        <v>99627.839999999997</v>
      </c>
    </row>
    <row r="88" spans="1:13" x14ac:dyDescent="0.2">
      <c r="A88" s="13"/>
      <c r="B88" s="13"/>
      <c r="C88" s="14" t="s">
        <v>30</v>
      </c>
      <c r="D88" s="28">
        <f>'GS Pay Scale'!B17</f>
        <v>67613</v>
      </c>
      <c r="E88" s="28">
        <f>'GS Pay Scale'!C17</f>
        <v>69867</v>
      </c>
      <c r="F88" s="28">
        <f>'GS Pay Scale'!D17</f>
        <v>72120</v>
      </c>
      <c r="G88" s="28">
        <f>'GS Pay Scale'!E17</f>
        <v>74373</v>
      </c>
      <c r="H88" s="28">
        <f>'GS Pay Scale'!F17</f>
        <v>76627</v>
      </c>
      <c r="I88" s="28">
        <f>'GS Pay Scale'!G17</f>
        <v>78880</v>
      </c>
      <c r="J88" s="28">
        <f>'GS Pay Scale'!H17</f>
        <v>81133</v>
      </c>
      <c r="K88" s="28">
        <f>'GS Pay Scale'!I17</f>
        <v>83387</v>
      </c>
      <c r="L88" s="28">
        <f>'GS Pay Scale'!J17</f>
        <v>85640</v>
      </c>
      <c r="M88" s="28">
        <f>'GS Pay Scale'!K17</f>
        <v>87893</v>
      </c>
    </row>
    <row r="89" spans="1:13" x14ac:dyDescent="0.2">
      <c r="A89" s="13"/>
      <c r="B89" s="13">
        <v>106</v>
      </c>
      <c r="C89" s="16" t="s">
        <v>47</v>
      </c>
      <c r="D89" s="17">
        <f t="shared" ref="D89:M89" si="45">D90*106</f>
        <v>2600.1800000000003</v>
      </c>
      <c r="E89" s="17">
        <f t="shared" si="45"/>
        <v>2687.1000000000004</v>
      </c>
      <c r="F89" s="17">
        <f t="shared" si="45"/>
        <v>2774.02</v>
      </c>
      <c r="G89" s="17">
        <f t="shared" si="45"/>
        <v>2860.94</v>
      </c>
      <c r="H89" s="17">
        <f t="shared" si="45"/>
        <v>2946.8</v>
      </c>
      <c r="I89" s="17">
        <f t="shared" si="45"/>
        <v>3033.7200000000003</v>
      </c>
      <c r="J89" s="17">
        <f t="shared" si="45"/>
        <v>3120.6400000000003</v>
      </c>
      <c r="K89" s="17">
        <f t="shared" si="45"/>
        <v>3207.56</v>
      </c>
      <c r="L89" s="17">
        <f t="shared" si="45"/>
        <v>3293.42</v>
      </c>
      <c r="M89" s="17">
        <f t="shared" si="45"/>
        <v>3380.34</v>
      </c>
    </row>
    <row r="90" spans="1:13" x14ac:dyDescent="0.2">
      <c r="A90" s="13"/>
      <c r="B90" s="13"/>
      <c r="C90" s="16" t="s">
        <v>13</v>
      </c>
      <c r="D90" s="17">
        <f t="shared" ref="D90:M90" si="46">ROUND(D88/2756,2)</f>
        <v>24.53</v>
      </c>
      <c r="E90" s="17">
        <f t="shared" si="46"/>
        <v>25.35</v>
      </c>
      <c r="F90" s="17">
        <f t="shared" si="46"/>
        <v>26.17</v>
      </c>
      <c r="G90" s="17">
        <f t="shared" si="46"/>
        <v>26.99</v>
      </c>
      <c r="H90" s="17">
        <f t="shared" si="46"/>
        <v>27.8</v>
      </c>
      <c r="I90" s="17">
        <f t="shared" si="46"/>
        <v>28.62</v>
      </c>
      <c r="J90" s="17">
        <f t="shared" si="46"/>
        <v>29.44</v>
      </c>
      <c r="K90" s="17">
        <f t="shared" si="46"/>
        <v>30.26</v>
      </c>
      <c r="L90" s="17">
        <f t="shared" si="46"/>
        <v>31.07</v>
      </c>
      <c r="M90" s="17">
        <f t="shared" si="46"/>
        <v>31.89</v>
      </c>
    </row>
    <row r="91" spans="1:13" x14ac:dyDescent="0.2">
      <c r="A91" s="18"/>
      <c r="B91" s="19">
        <f>($G$3-53)*2</f>
        <v>38</v>
      </c>
      <c r="C91" s="16" t="s">
        <v>48</v>
      </c>
      <c r="D91" s="17">
        <f t="shared" ref="D91:M91" si="47">D92*$B$9</f>
        <v>1398.3999999999999</v>
      </c>
      <c r="E91" s="17">
        <f t="shared" si="47"/>
        <v>1402.2</v>
      </c>
      <c r="F91" s="17">
        <f t="shared" si="47"/>
        <v>1402.2</v>
      </c>
      <c r="G91" s="17">
        <f t="shared" si="47"/>
        <v>1402.2</v>
      </c>
      <c r="H91" s="17">
        <f t="shared" si="47"/>
        <v>1402.2</v>
      </c>
      <c r="I91" s="17">
        <f t="shared" si="47"/>
        <v>1402.2</v>
      </c>
      <c r="J91" s="17">
        <f t="shared" si="47"/>
        <v>1402.2</v>
      </c>
      <c r="K91" s="17">
        <f t="shared" si="47"/>
        <v>1402.2</v>
      </c>
      <c r="L91" s="17">
        <f t="shared" si="47"/>
        <v>1402.2</v>
      </c>
      <c r="M91" s="17">
        <f t="shared" si="47"/>
        <v>1402.2</v>
      </c>
    </row>
    <row r="92" spans="1:13" x14ac:dyDescent="0.2">
      <c r="A92" s="13" t="s">
        <v>26</v>
      </c>
      <c r="B92" s="13"/>
      <c r="C92" s="16" t="s">
        <v>14</v>
      </c>
      <c r="D92" s="17">
        <f>IF(ROUND(D90*1.5,2)&lt;$G$116,ROUND(D90*1.5,2),IF($G$116&lt;D90,D90,$G$116))</f>
        <v>36.799999999999997</v>
      </c>
      <c r="E92" s="17">
        <f t="shared" ref="E92:M92" si="48">IF(ROUND(E90*1.5,2)&lt;$G$116,ROUND(E90*1.5,2),IF($G$116&lt;E90,E90,$G$116))</f>
        <v>36.9</v>
      </c>
      <c r="F92" s="17">
        <f t="shared" si="48"/>
        <v>36.9</v>
      </c>
      <c r="G92" s="17">
        <f t="shared" si="48"/>
        <v>36.9</v>
      </c>
      <c r="H92" s="17">
        <f t="shared" si="48"/>
        <v>36.9</v>
      </c>
      <c r="I92" s="17">
        <f t="shared" si="48"/>
        <v>36.9</v>
      </c>
      <c r="J92" s="17">
        <f t="shared" si="48"/>
        <v>36.9</v>
      </c>
      <c r="K92" s="17">
        <f t="shared" si="48"/>
        <v>36.9</v>
      </c>
      <c r="L92" s="17">
        <f t="shared" si="48"/>
        <v>36.9</v>
      </c>
      <c r="M92" s="17">
        <f t="shared" si="48"/>
        <v>36.9</v>
      </c>
    </row>
    <row r="93" spans="1:13" s="75" customFormat="1" x14ac:dyDescent="0.2">
      <c r="A93" s="74"/>
      <c r="B93" s="74"/>
      <c r="C93" s="36" t="s">
        <v>73</v>
      </c>
      <c r="D93" s="17">
        <f>IF(VLOOKUP('Start Page'!$C$46,'Locality Rates'!$A$2:$C$49,3,FALSE)=1,ROUND(D90*'Start Page'!$C$48,2)*$B$12,0)</f>
        <v>0</v>
      </c>
      <c r="E93" s="17">
        <f>IF(VLOOKUP('Start Page'!$C$46,'Locality Rates'!$A$2:$C$49,3,FALSE)=1,ROUND(E90*'Start Page'!$C$48,2)*$B$12,0)</f>
        <v>0</v>
      </c>
      <c r="F93" s="17">
        <f>IF(VLOOKUP('Start Page'!$C$46,'Locality Rates'!$A$2:$C$49,3,FALSE)=1,ROUND(F90*'Start Page'!$C$48,2)*$B$12,0)</f>
        <v>0</v>
      </c>
      <c r="G93" s="17">
        <f>IF(VLOOKUP('Start Page'!$C$46,'Locality Rates'!$A$2:$C$49,3,FALSE)=1,ROUND(G90*'Start Page'!$C$48,2)*$B$12,0)</f>
        <v>0</v>
      </c>
      <c r="H93" s="17">
        <f>IF(VLOOKUP('Start Page'!$C$46,'Locality Rates'!$A$2:$C$49,3,FALSE)=1,ROUND(H90*'Start Page'!$C$48,2)*$B$12,0)</f>
        <v>0</v>
      </c>
      <c r="I93" s="17">
        <f>IF(VLOOKUP('Start Page'!$C$46,'Locality Rates'!$A$2:$C$49,3,FALSE)=1,ROUND(I90*'Start Page'!$C$48,2)*$B$12,0)</f>
        <v>0</v>
      </c>
      <c r="J93" s="17">
        <f>IF(VLOOKUP('Start Page'!$C$46,'Locality Rates'!$A$2:$C$49,3,FALSE)=1,ROUND(J90*'Start Page'!$C$48,2)*$B$12,0)</f>
        <v>0</v>
      </c>
      <c r="K93" s="17">
        <f>IF(VLOOKUP('Start Page'!$C$46,'Locality Rates'!$A$2:$C$49,3,FALSE)=1,ROUND(K90*'Start Page'!$C$48,2)*$B$12,0)</f>
        <v>0</v>
      </c>
      <c r="L93" s="17">
        <f>IF(VLOOKUP('Start Page'!$C$46,'Locality Rates'!$A$2:$C$49,3,FALSE)=1,ROUND(L90*'Start Page'!$C$48,2)*$B$12,0)</f>
        <v>0</v>
      </c>
      <c r="M93" s="17">
        <f>IF(VLOOKUP('Start Page'!$C$46,'Locality Rates'!$A$2:$C$49,3,FALSE)=1,ROUND(M90*'Start Page'!$C$48,2)*$B$12,0)</f>
        <v>0</v>
      </c>
    </row>
    <row r="94" spans="1:13" x14ac:dyDescent="0.2">
      <c r="A94" s="13"/>
      <c r="B94" s="13">
        <f>B89+B91</f>
        <v>144</v>
      </c>
      <c r="C94" s="20" t="s">
        <v>17</v>
      </c>
      <c r="D94" s="21">
        <f t="shared" ref="D94:M94" si="49">D89+D91+D93</f>
        <v>3998.58</v>
      </c>
      <c r="E94" s="21">
        <f t="shared" si="49"/>
        <v>4089.3</v>
      </c>
      <c r="F94" s="21">
        <f t="shared" si="49"/>
        <v>4176.22</v>
      </c>
      <c r="G94" s="21">
        <f t="shared" si="49"/>
        <v>4263.1400000000003</v>
      </c>
      <c r="H94" s="21">
        <f t="shared" si="49"/>
        <v>4349</v>
      </c>
      <c r="I94" s="21">
        <f t="shared" si="49"/>
        <v>4435.92</v>
      </c>
      <c r="J94" s="21">
        <f t="shared" si="49"/>
        <v>4522.84</v>
      </c>
      <c r="K94" s="21">
        <f t="shared" si="49"/>
        <v>4609.76</v>
      </c>
      <c r="L94" s="21">
        <f t="shared" si="49"/>
        <v>4695.62</v>
      </c>
      <c r="M94" s="21">
        <f t="shared" si="49"/>
        <v>4782.54</v>
      </c>
    </row>
    <row r="95" spans="1:13" x14ac:dyDescent="0.2">
      <c r="A95" s="13"/>
      <c r="B95" s="13"/>
      <c r="C95" s="20" t="s">
        <v>33</v>
      </c>
      <c r="D95" s="21">
        <f>D94*'Start Page'!$C$54</f>
        <v>103963.08</v>
      </c>
      <c r="E95" s="21">
        <f>E94*'Start Page'!$C$54</f>
        <v>106321.8</v>
      </c>
      <c r="F95" s="21">
        <f>F94*'Start Page'!$C$54</f>
        <v>108581.72</v>
      </c>
      <c r="G95" s="21">
        <f>G94*'Start Page'!$C$54</f>
        <v>110841.64000000001</v>
      </c>
      <c r="H95" s="21">
        <f>H94*'Start Page'!$C$54</f>
        <v>113074</v>
      </c>
      <c r="I95" s="21">
        <f>I94*'Start Page'!$C$54</f>
        <v>115333.92</v>
      </c>
      <c r="J95" s="21">
        <f>J94*'Start Page'!$C$54</f>
        <v>117593.84</v>
      </c>
      <c r="K95" s="21">
        <f>K94*'Start Page'!$C$54</f>
        <v>119853.76000000001</v>
      </c>
      <c r="L95" s="21">
        <f>L94*'Start Page'!$C$54</f>
        <v>122086.12</v>
      </c>
      <c r="M95" s="21">
        <f>M94*'Start Page'!$C$54</f>
        <v>124346.04</v>
      </c>
    </row>
    <row r="96" spans="1:13" s="26" customFormat="1" x14ac:dyDescent="0.2">
      <c r="A96" s="22"/>
      <c r="B96" s="22"/>
      <c r="C96" s="23" t="s">
        <v>166</v>
      </c>
      <c r="D96" s="24">
        <f>D90*$B$12*'Start Page'!$C$54</f>
        <v>91840.320000000007</v>
      </c>
      <c r="E96" s="24">
        <f>E90*$B$12*'Start Page'!$C$54</f>
        <v>94910.400000000009</v>
      </c>
      <c r="F96" s="24">
        <f>F90*$B$12*'Start Page'!$C$54</f>
        <v>97980.48000000001</v>
      </c>
      <c r="G96" s="24">
        <f>G90*$B$12*'Start Page'!$C$54</f>
        <v>101050.56</v>
      </c>
      <c r="H96" s="24">
        <f>H90*$B$12*'Start Page'!$C$54</f>
        <v>104083.20000000001</v>
      </c>
      <c r="I96" s="24">
        <f>I90*$B$12*'Start Page'!$C$54</f>
        <v>107153.28</v>
      </c>
      <c r="J96" s="24">
        <f>J90*$B$12*'Start Page'!$C$54</f>
        <v>110223.36000000002</v>
      </c>
      <c r="K96" s="24">
        <f>K90*$B$12*'Start Page'!$C$54</f>
        <v>113293.44000000002</v>
      </c>
      <c r="L96" s="24">
        <f>L90*$B$12*'Start Page'!$C$54</f>
        <v>116326.08</v>
      </c>
      <c r="M96" s="25">
        <f>M90*$B$12*'Start Page'!$C$54</f>
        <v>119396.16</v>
      </c>
    </row>
    <row r="97" spans="1:13" x14ac:dyDescent="0.2">
      <c r="A97" s="13"/>
      <c r="B97" s="13"/>
      <c r="C97" s="14" t="s">
        <v>30</v>
      </c>
      <c r="D97" s="28">
        <f>'GS Pay Scale'!B18</f>
        <v>80402</v>
      </c>
      <c r="E97" s="28">
        <f>'GS Pay Scale'!C18</f>
        <v>83083</v>
      </c>
      <c r="F97" s="28">
        <f>'GS Pay Scale'!D18</f>
        <v>85763</v>
      </c>
      <c r="G97" s="28">
        <f>'GS Pay Scale'!E18</f>
        <v>88443</v>
      </c>
      <c r="H97" s="28">
        <f>'GS Pay Scale'!F18</f>
        <v>91123</v>
      </c>
      <c r="I97" s="28">
        <f>'GS Pay Scale'!G18</f>
        <v>93804</v>
      </c>
      <c r="J97" s="28">
        <f>'GS Pay Scale'!H18</f>
        <v>96484</v>
      </c>
      <c r="K97" s="28">
        <f>'GS Pay Scale'!I18</f>
        <v>99164</v>
      </c>
      <c r="L97" s="28">
        <f>'GS Pay Scale'!J18</f>
        <v>101844</v>
      </c>
      <c r="M97" s="28">
        <f>'GS Pay Scale'!K18</f>
        <v>104525</v>
      </c>
    </row>
    <row r="98" spans="1:13" x14ac:dyDescent="0.2">
      <c r="A98" s="13"/>
      <c r="B98" s="13">
        <v>106</v>
      </c>
      <c r="C98" s="16" t="s">
        <v>47</v>
      </c>
      <c r="D98" s="17">
        <f t="shared" ref="D98:M98" si="50">D99*106</f>
        <v>3092.02</v>
      </c>
      <c r="E98" s="17">
        <f t="shared" si="50"/>
        <v>3195.8999999999996</v>
      </c>
      <c r="F98" s="17">
        <f t="shared" si="50"/>
        <v>3298.7200000000003</v>
      </c>
      <c r="G98" s="17">
        <f t="shared" si="50"/>
        <v>3401.5400000000004</v>
      </c>
      <c r="H98" s="17">
        <f t="shared" si="50"/>
        <v>3504.36</v>
      </c>
      <c r="I98" s="17">
        <f t="shared" si="50"/>
        <v>3608.24</v>
      </c>
      <c r="J98" s="17">
        <f t="shared" si="50"/>
        <v>3711.06</v>
      </c>
      <c r="K98" s="17">
        <f t="shared" si="50"/>
        <v>3813.8799999999997</v>
      </c>
      <c r="L98" s="17">
        <f t="shared" si="50"/>
        <v>3916.7000000000003</v>
      </c>
      <c r="M98" s="17">
        <f t="shared" si="50"/>
        <v>4020.58</v>
      </c>
    </row>
    <row r="99" spans="1:13" x14ac:dyDescent="0.2">
      <c r="A99" s="13"/>
      <c r="B99" s="13"/>
      <c r="C99" s="16" t="s">
        <v>13</v>
      </c>
      <c r="D99" s="17">
        <f t="shared" ref="D99:M99" si="51">ROUND(D97/2756,2)</f>
        <v>29.17</v>
      </c>
      <c r="E99" s="17">
        <f t="shared" si="51"/>
        <v>30.15</v>
      </c>
      <c r="F99" s="17">
        <f t="shared" si="51"/>
        <v>31.12</v>
      </c>
      <c r="G99" s="17">
        <f t="shared" si="51"/>
        <v>32.090000000000003</v>
      </c>
      <c r="H99" s="17">
        <f t="shared" si="51"/>
        <v>33.06</v>
      </c>
      <c r="I99" s="17">
        <f t="shared" si="51"/>
        <v>34.04</v>
      </c>
      <c r="J99" s="17">
        <f t="shared" si="51"/>
        <v>35.01</v>
      </c>
      <c r="K99" s="17">
        <f t="shared" si="51"/>
        <v>35.979999999999997</v>
      </c>
      <c r="L99" s="17">
        <f t="shared" si="51"/>
        <v>36.950000000000003</v>
      </c>
      <c r="M99" s="17">
        <f t="shared" si="51"/>
        <v>37.93</v>
      </c>
    </row>
    <row r="100" spans="1:13" x14ac:dyDescent="0.2">
      <c r="A100" s="18"/>
      <c r="B100" s="19">
        <f>($G$3-53)*2</f>
        <v>38</v>
      </c>
      <c r="C100" s="16" t="s">
        <v>48</v>
      </c>
      <c r="D100" s="17">
        <f t="shared" ref="D100:M100" si="52">D101*$B$9</f>
        <v>1402.2</v>
      </c>
      <c r="E100" s="17">
        <f t="shared" si="52"/>
        <v>1402.2</v>
      </c>
      <c r="F100" s="17">
        <f t="shared" si="52"/>
        <v>1402.2</v>
      </c>
      <c r="G100" s="17">
        <f t="shared" si="52"/>
        <v>1402.2</v>
      </c>
      <c r="H100" s="17">
        <f t="shared" si="52"/>
        <v>1402.2</v>
      </c>
      <c r="I100" s="17">
        <f t="shared" si="52"/>
        <v>1402.2</v>
      </c>
      <c r="J100" s="17">
        <f t="shared" si="52"/>
        <v>1402.2</v>
      </c>
      <c r="K100" s="17">
        <f t="shared" si="52"/>
        <v>1402.2</v>
      </c>
      <c r="L100" s="17">
        <f t="shared" si="52"/>
        <v>1404.1000000000001</v>
      </c>
      <c r="M100" s="17">
        <f t="shared" si="52"/>
        <v>1441.34</v>
      </c>
    </row>
    <row r="101" spans="1:13" x14ac:dyDescent="0.2">
      <c r="A101" s="13" t="s">
        <v>31</v>
      </c>
      <c r="B101" s="13"/>
      <c r="C101" s="16" t="s">
        <v>14</v>
      </c>
      <c r="D101" s="17">
        <f>IF(ROUND(D99*1.5,2)&lt;$G$116,ROUND(D99*1.5,2),IF($G$116&lt;D99,D99,$G$116))</f>
        <v>36.9</v>
      </c>
      <c r="E101" s="17">
        <f t="shared" ref="E101:M101" si="53">IF(ROUND(E99*1.5,2)&lt;$G$116,ROUND(E99*1.5,2),IF($G$116&lt;E99,E99,$G$116))</f>
        <v>36.9</v>
      </c>
      <c r="F101" s="17">
        <f t="shared" si="53"/>
        <v>36.9</v>
      </c>
      <c r="G101" s="17">
        <f t="shared" si="53"/>
        <v>36.9</v>
      </c>
      <c r="H101" s="17">
        <f t="shared" si="53"/>
        <v>36.9</v>
      </c>
      <c r="I101" s="17">
        <f t="shared" si="53"/>
        <v>36.9</v>
      </c>
      <c r="J101" s="17">
        <f t="shared" si="53"/>
        <v>36.9</v>
      </c>
      <c r="K101" s="17">
        <f t="shared" si="53"/>
        <v>36.9</v>
      </c>
      <c r="L101" s="17">
        <f t="shared" si="53"/>
        <v>36.950000000000003</v>
      </c>
      <c r="M101" s="17">
        <f t="shared" si="53"/>
        <v>37.93</v>
      </c>
    </row>
    <row r="102" spans="1:13" s="75" customFormat="1" x14ac:dyDescent="0.2">
      <c r="A102" s="74"/>
      <c r="B102" s="74"/>
      <c r="C102" s="36" t="s">
        <v>73</v>
      </c>
      <c r="D102" s="17">
        <f>IF(VLOOKUP('Start Page'!$C$46,'Locality Rates'!$A$2:$C$49,3,FALSE)=1,ROUND(D99*'Start Page'!$C$48,2)*$B$12,0)</f>
        <v>0</v>
      </c>
      <c r="E102" s="17">
        <f>IF(VLOOKUP('Start Page'!$C$46,'Locality Rates'!$A$2:$C$49,3,FALSE)=1,ROUND(E99*'Start Page'!$C$48,2)*$B$12,0)</f>
        <v>0</v>
      </c>
      <c r="F102" s="17">
        <f>IF(VLOOKUP('Start Page'!$C$46,'Locality Rates'!$A$2:$C$49,3,FALSE)=1,ROUND(F99*'Start Page'!$C$48,2)*$B$12,0)</f>
        <v>0</v>
      </c>
      <c r="G102" s="17">
        <f>IF(VLOOKUP('Start Page'!$C$46,'Locality Rates'!$A$2:$C$49,3,FALSE)=1,ROUND(G99*'Start Page'!$C$48,2)*$B$12,0)</f>
        <v>0</v>
      </c>
      <c r="H102" s="17">
        <f>IF(VLOOKUP('Start Page'!$C$46,'Locality Rates'!$A$2:$C$49,3,FALSE)=1,ROUND(H99*'Start Page'!$C$48,2)*$B$12,0)</f>
        <v>0</v>
      </c>
      <c r="I102" s="17">
        <f>IF(VLOOKUP('Start Page'!$C$46,'Locality Rates'!$A$2:$C$49,3,FALSE)=1,ROUND(I99*'Start Page'!$C$48,2)*$B$12,0)</f>
        <v>0</v>
      </c>
      <c r="J102" s="17">
        <f>IF(VLOOKUP('Start Page'!$C$46,'Locality Rates'!$A$2:$C$49,3,FALSE)=1,ROUND(J99*'Start Page'!$C$48,2)*$B$12,0)</f>
        <v>0</v>
      </c>
      <c r="K102" s="17">
        <f>IF(VLOOKUP('Start Page'!$C$46,'Locality Rates'!$A$2:$C$49,3,FALSE)=1,ROUND(K99*'Start Page'!$C$48,2)*$B$12,0)</f>
        <v>0</v>
      </c>
      <c r="L102" s="17">
        <f>IF(VLOOKUP('Start Page'!$C$46,'Locality Rates'!$A$2:$C$49,3,FALSE)=1,ROUND(L99*'Start Page'!$C$48,2)*$B$12,0)</f>
        <v>0</v>
      </c>
      <c r="M102" s="17">
        <f>IF(VLOOKUP('Start Page'!$C$46,'Locality Rates'!$A$2:$C$49,3,FALSE)=1,ROUND(M99*'Start Page'!$C$48,2)*$B$12,0)</f>
        <v>0</v>
      </c>
    </row>
    <row r="103" spans="1:13" x14ac:dyDescent="0.2">
      <c r="A103" s="13"/>
      <c r="B103" s="13">
        <f>B98+B100</f>
        <v>144</v>
      </c>
      <c r="C103" s="20" t="s">
        <v>17</v>
      </c>
      <c r="D103" s="21">
        <f t="shared" ref="D103:M103" si="54">D98+D100+D102</f>
        <v>4494.22</v>
      </c>
      <c r="E103" s="21">
        <f t="shared" si="54"/>
        <v>4598.0999999999995</v>
      </c>
      <c r="F103" s="21">
        <f t="shared" si="54"/>
        <v>4700.92</v>
      </c>
      <c r="G103" s="21">
        <f t="shared" si="54"/>
        <v>4803.7400000000007</v>
      </c>
      <c r="H103" s="21">
        <f t="shared" si="54"/>
        <v>4906.5600000000004</v>
      </c>
      <c r="I103" s="21">
        <f t="shared" si="54"/>
        <v>5010.4399999999996</v>
      </c>
      <c r="J103" s="21">
        <f t="shared" si="54"/>
        <v>5113.26</v>
      </c>
      <c r="K103" s="21">
        <f t="shared" si="54"/>
        <v>5216.08</v>
      </c>
      <c r="L103" s="21">
        <f t="shared" si="54"/>
        <v>5320.8</v>
      </c>
      <c r="M103" s="21">
        <f t="shared" si="54"/>
        <v>5461.92</v>
      </c>
    </row>
    <row r="104" spans="1:13" x14ac:dyDescent="0.2">
      <c r="A104" s="13"/>
      <c r="B104" s="13"/>
      <c r="C104" s="20" t="s">
        <v>33</v>
      </c>
      <c r="D104" s="21">
        <f>D103*'Start Page'!$C$54</f>
        <v>116849.72</v>
      </c>
      <c r="E104" s="21">
        <f>E103*'Start Page'!$C$54</f>
        <v>119550.59999999999</v>
      </c>
      <c r="F104" s="21">
        <f>F103*'Start Page'!$C$54</f>
        <v>122223.92</v>
      </c>
      <c r="G104" s="21">
        <f>G103*'Start Page'!$C$54</f>
        <v>124897.24000000002</v>
      </c>
      <c r="H104" s="21">
        <f>H103*'Start Page'!$C$54</f>
        <v>127570.56000000001</v>
      </c>
      <c r="I104" s="21">
        <f>I103*'Start Page'!$C$54</f>
        <v>130271.43999999999</v>
      </c>
      <c r="J104" s="21">
        <f>J103*'Start Page'!$C$54</f>
        <v>132944.76</v>
      </c>
      <c r="K104" s="21">
        <f>K103*'Start Page'!$C$54</f>
        <v>135618.07999999999</v>
      </c>
      <c r="L104" s="21">
        <f>L103*'Start Page'!$C$54</f>
        <v>138340.80000000002</v>
      </c>
      <c r="M104" s="21">
        <f>M103*'Start Page'!$C$54</f>
        <v>142009.92000000001</v>
      </c>
    </row>
    <row r="105" spans="1:13" s="26" customFormat="1" x14ac:dyDescent="0.2">
      <c r="A105" s="22"/>
      <c r="B105" s="22"/>
      <c r="C105" s="23" t="s">
        <v>166</v>
      </c>
      <c r="D105" s="24">
        <f>D99*$B$12*'Start Page'!$C$54</f>
        <v>109212.48000000001</v>
      </c>
      <c r="E105" s="24">
        <f>E99*$B$12*'Start Page'!$C$54</f>
        <v>112881.59999999999</v>
      </c>
      <c r="F105" s="24">
        <f>F99*$B$12*'Start Page'!$C$54</f>
        <v>116513.28</v>
      </c>
      <c r="G105" s="24">
        <f>G99*$B$12*'Start Page'!$C$54</f>
        <v>120144.96000000002</v>
      </c>
      <c r="H105" s="24">
        <f>H99*$B$12*'Start Page'!$C$54</f>
        <v>123776.64000000001</v>
      </c>
      <c r="I105" s="24">
        <f>I99*$B$12*'Start Page'!$C$54</f>
        <v>127445.76000000001</v>
      </c>
      <c r="J105" s="24">
        <f>J99*$B$12*'Start Page'!$C$54</f>
        <v>131077.44</v>
      </c>
      <c r="K105" s="24">
        <f>K99*$B$12*'Start Page'!$C$54</f>
        <v>134709.12</v>
      </c>
      <c r="L105" s="24">
        <f>L99*$B$12*'Start Page'!$C$54</f>
        <v>138340.80000000002</v>
      </c>
      <c r="M105" s="25">
        <f>M99*$B$12*'Start Page'!$C$54</f>
        <v>142009.92000000001</v>
      </c>
    </row>
    <row r="106" spans="1:13" x14ac:dyDescent="0.2">
      <c r="M106" s="29"/>
    </row>
    <row r="108" spans="1:13" x14ac:dyDescent="0.2">
      <c r="A108" s="30" t="s">
        <v>170</v>
      </c>
      <c r="B108" s="30"/>
    </row>
    <row r="109" spans="1:13" x14ac:dyDescent="0.2">
      <c r="A109" s="30" t="s">
        <v>167</v>
      </c>
      <c r="B109" s="30"/>
    </row>
    <row r="110" spans="1:13" x14ac:dyDescent="0.2">
      <c r="A110" s="30"/>
      <c r="B110" s="30"/>
    </row>
    <row r="111" spans="1:13" x14ac:dyDescent="0.2">
      <c r="A111" s="30" t="s">
        <v>168</v>
      </c>
      <c r="B111" s="30"/>
    </row>
    <row r="112" spans="1:13" x14ac:dyDescent="0.2">
      <c r="A112" s="30" t="s">
        <v>169</v>
      </c>
      <c r="B112" s="30"/>
    </row>
    <row r="113" spans="1:8" x14ac:dyDescent="0.2">
      <c r="A113" s="31" t="s">
        <v>19</v>
      </c>
      <c r="B113" s="31"/>
    </row>
    <row r="114" spans="1:8" s="35" customFormat="1" x14ac:dyDescent="0.2">
      <c r="A114" s="30" t="s">
        <v>98</v>
      </c>
      <c r="E114" s="45"/>
      <c r="G114" s="47"/>
    </row>
    <row r="115" spans="1:8" x14ac:dyDescent="0.2">
      <c r="A115" s="31"/>
      <c r="B115" s="31"/>
    </row>
    <row r="116" spans="1:8" x14ac:dyDescent="0.2">
      <c r="A116" s="30" t="s">
        <v>32</v>
      </c>
      <c r="B116" s="30"/>
      <c r="G116" s="32">
        <f>ROUND(ROUND(D70/2087,2)*1.5,2)</f>
        <v>36.9</v>
      </c>
      <c r="H116" s="11"/>
    </row>
    <row r="117" spans="1:8" x14ac:dyDescent="0.2">
      <c r="A117" s="31"/>
      <c r="B117" s="31"/>
    </row>
    <row r="118" spans="1:8" x14ac:dyDescent="0.2">
      <c r="A118" s="30" t="s">
        <v>41</v>
      </c>
      <c r="B118" s="30"/>
    </row>
  </sheetData>
  <sheetProtection password="CCE4" sheet="1" objects="1" scenarios="1"/>
  <phoneticPr fontId="0" type="noConversion"/>
  <printOptions horizontalCentered="1" verticalCentered="1"/>
  <pageMargins left="0.5" right="0.5" top="0.5" bottom="0.5" header="0.5" footer="0.5"/>
  <pageSetup scale="70" fitToHeight="2" orientation="landscape" horizontalDpi="4294967294" verticalDpi="300" r:id="rId1"/>
  <headerFooter alignWithMargins="0"/>
  <rowBreaks count="1" manualBreakCount="1">
    <brk id="59"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41"/>
  <sheetViews>
    <sheetView showGridLines="0" zoomScaleNormal="100" workbookViewId="0">
      <pane ySplit="5" topLeftCell="A6" activePane="bottomLeft" state="frozen"/>
      <selection pane="bottomLeft" activeCell="A5" sqref="A5"/>
    </sheetView>
  </sheetViews>
  <sheetFormatPr defaultRowHeight="12.75" x14ac:dyDescent="0.2"/>
  <cols>
    <col min="1" max="1" width="7.140625" style="43" customWidth="1"/>
    <col min="2" max="2" width="7.140625" style="35" customWidth="1"/>
    <col min="3" max="3" width="13.5703125" style="35" customWidth="1"/>
    <col min="4" max="13" width="12.7109375" style="35" customWidth="1"/>
    <col min="14" max="16384" width="9.140625" style="35"/>
  </cols>
  <sheetData>
    <row r="1" spans="1:13" s="7" customFormat="1" ht="25.5" customHeight="1" x14ac:dyDescent="0.4">
      <c r="E1" s="8">
        <f>'Start Page'!$C$85</f>
        <v>2009</v>
      </c>
      <c r="F1" s="9" t="s">
        <v>40</v>
      </c>
    </row>
    <row r="2" spans="1:13" s="7" customFormat="1" ht="25.5" customHeight="1" x14ac:dyDescent="0.4">
      <c r="E2" s="8"/>
      <c r="G2" s="98" t="s">
        <v>39</v>
      </c>
      <c r="H2" s="10" t="str">
        <f>'Start Page'!$J$13</f>
        <v>Rest of U.S.</v>
      </c>
    </row>
    <row r="3" spans="1:13" s="7" customFormat="1" ht="25.5" customHeight="1" x14ac:dyDescent="0.4">
      <c r="G3" s="8">
        <f>'Start Page'!A16</f>
        <v>60</v>
      </c>
      <c r="H3" s="9" t="s">
        <v>46</v>
      </c>
    </row>
    <row r="4" spans="1:13" s="7" customFormat="1" ht="12.75" customHeight="1" x14ac:dyDescent="0.2">
      <c r="G4" s="11"/>
      <c r="H4" s="113" t="str">
        <f>IF(E1='GS Pay Calculator'!B2,"","Warning! These pay figures are now estimates only!")</f>
        <v/>
      </c>
    </row>
    <row r="5" spans="1:13" s="33" customFormat="1" x14ac:dyDescent="0.2">
      <c r="A5" s="12" t="s">
        <v>0</v>
      </c>
      <c r="B5" s="12" t="s">
        <v>49</v>
      </c>
      <c r="C5" s="12" t="s">
        <v>1</v>
      </c>
      <c r="D5" s="12" t="s">
        <v>2</v>
      </c>
      <c r="E5" s="12" t="s">
        <v>3</v>
      </c>
      <c r="F5" s="12" t="s">
        <v>4</v>
      </c>
      <c r="G5" s="12" t="s">
        <v>5</v>
      </c>
      <c r="H5" s="12" t="s">
        <v>6</v>
      </c>
      <c r="I5" s="12" t="s">
        <v>7</v>
      </c>
      <c r="J5" s="12" t="s">
        <v>8</v>
      </c>
      <c r="K5" s="12" t="s">
        <v>9</v>
      </c>
      <c r="L5" s="12" t="s">
        <v>10</v>
      </c>
      <c r="M5" s="12" t="s">
        <v>11</v>
      </c>
    </row>
    <row r="6" spans="1:13" x14ac:dyDescent="0.2">
      <c r="A6" s="27"/>
      <c r="B6" s="27"/>
      <c r="C6" s="14" t="s">
        <v>30</v>
      </c>
      <c r="D6" s="34">
        <f>'GS Pay Scale'!B8</f>
        <v>24499</v>
      </c>
      <c r="E6" s="34">
        <f>'GS Pay Scale'!C8</f>
        <v>25316</v>
      </c>
      <c r="F6" s="34">
        <f>'GS Pay Scale'!D8</f>
        <v>26132</v>
      </c>
      <c r="G6" s="34">
        <f>'GS Pay Scale'!E8</f>
        <v>26948</v>
      </c>
      <c r="H6" s="34">
        <f>'GS Pay Scale'!F8</f>
        <v>27765</v>
      </c>
      <c r="I6" s="34">
        <f>'GS Pay Scale'!G8</f>
        <v>28581</v>
      </c>
      <c r="J6" s="34">
        <f>'GS Pay Scale'!H8</f>
        <v>29398</v>
      </c>
      <c r="K6" s="34">
        <f>'GS Pay Scale'!I8</f>
        <v>30214</v>
      </c>
      <c r="L6" s="34">
        <f>'GS Pay Scale'!J8</f>
        <v>31030</v>
      </c>
      <c r="M6" s="34">
        <f>'GS Pay Scale'!K8</f>
        <v>31847</v>
      </c>
    </row>
    <row r="7" spans="1:13" x14ac:dyDescent="0.2">
      <c r="A7" s="13"/>
      <c r="B7" s="13">
        <v>80</v>
      </c>
      <c r="C7" s="36" t="s">
        <v>52</v>
      </c>
      <c r="D7" s="37">
        <f>D8*80</f>
        <v>939.2</v>
      </c>
      <c r="E7" s="37">
        <f t="shared" ref="E7:M7" si="0">E8*80</f>
        <v>970.40000000000009</v>
      </c>
      <c r="F7" s="37">
        <f t="shared" si="0"/>
        <v>1001.5999999999999</v>
      </c>
      <c r="G7" s="37">
        <f t="shared" si="0"/>
        <v>1032.8</v>
      </c>
      <c r="H7" s="37">
        <f t="shared" si="0"/>
        <v>1064</v>
      </c>
      <c r="I7" s="37">
        <f t="shared" si="0"/>
        <v>1095.2</v>
      </c>
      <c r="J7" s="37">
        <f t="shared" si="0"/>
        <v>1127.2</v>
      </c>
      <c r="K7" s="37">
        <f t="shared" si="0"/>
        <v>1158.4000000000001</v>
      </c>
      <c r="L7" s="37">
        <f t="shared" si="0"/>
        <v>1189.5999999999999</v>
      </c>
      <c r="M7" s="37">
        <f t="shared" si="0"/>
        <v>1220.8</v>
      </c>
    </row>
    <row r="8" spans="1:13" x14ac:dyDescent="0.2">
      <c r="A8" s="13"/>
      <c r="B8" s="13"/>
      <c r="C8" s="36" t="s">
        <v>20</v>
      </c>
      <c r="D8" s="38">
        <f>ROUND(D6/2087,2)</f>
        <v>11.74</v>
      </c>
      <c r="E8" s="38">
        <f t="shared" ref="E8:M8" si="1">ROUND(E6/2087,2)</f>
        <v>12.13</v>
      </c>
      <c r="F8" s="38">
        <f t="shared" si="1"/>
        <v>12.52</v>
      </c>
      <c r="G8" s="38">
        <f t="shared" si="1"/>
        <v>12.91</v>
      </c>
      <c r="H8" s="38">
        <f t="shared" si="1"/>
        <v>13.3</v>
      </c>
      <c r="I8" s="38">
        <f t="shared" si="1"/>
        <v>13.69</v>
      </c>
      <c r="J8" s="38">
        <f t="shared" si="1"/>
        <v>14.09</v>
      </c>
      <c r="K8" s="38">
        <f t="shared" si="1"/>
        <v>14.48</v>
      </c>
      <c r="L8" s="38">
        <f t="shared" si="1"/>
        <v>14.87</v>
      </c>
      <c r="M8" s="38">
        <f t="shared" si="1"/>
        <v>15.26</v>
      </c>
    </row>
    <row r="9" spans="1:13" x14ac:dyDescent="0.2">
      <c r="A9" s="13"/>
      <c r="B9" s="13">
        <v>26</v>
      </c>
      <c r="C9" s="16" t="s">
        <v>47</v>
      </c>
      <c r="D9" s="38">
        <f>D10*26</f>
        <v>231.14000000000001</v>
      </c>
      <c r="E9" s="38">
        <f t="shared" ref="E9:M9" si="2">E10*26</f>
        <v>238.94</v>
      </c>
      <c r="F9" s="38">
        <f t="shared" si="2"/>
        <v>246.48000000000002</v>
      </c>
      <c r="G9" s="38">
        <f t="shared" si="2"/>
        <v>254.27999999999997</v>
      </c>
      <c r="H9" s="38">
        <f t="shared" si="2"/>
        <v>261.82</v>
      </c>
      <c r="I9" s="38">
        <f t="shared" si="2"/>
        <v>269.62</v>
      </c>
      <c r="J9" s="38">
        <f t="shared" si="2"/>
        <v>277.42</v>
      </c>
      <c r="K9" s="38">
        <f t="shared" si="2"/>
        <v>284.96000000000004</v>
      </c>
      <c r="L9" s="38">
        <f t="shared" si="2"/>
        <v>292.76</v>
      </c>
      <c r="M9" s="38">
        <f t="shared" si="2"/>
        <v>300.56</v>
      </c>
    </row>
    <row r="10" spans="1:13" x14ac:dyDescent="0.2">
      <c r="A10" s="13"/>
      <c r="B10" s="13"/>
      <c r="C10" s="16" t="s">
        <v>13</v>
      </c>
      <c r="D10" s="38">
        <f>ROUND(D6/2756,2)</f>
        <v>8.89</v>
      </c>
      <c r="E10" s="38">
        <f t="shared" ref="E10:M10" si="3">ROUND(E6/2756,2)</f>
        <v>9.19</v>
      </c>
      <c r="F10" s="38">
        <f t="shared" si="3"/>
        <v>9.48</v>
      </c>
      <c r="G10" s="38">
        <f t="shared" si="3"/>
        <v>9.7799999999999994</v>
      </c>
      <c r="H10" s="38">
        <f t="shared" si="3"/>
        <v>10.07</v>
      </c>
      <c r="I10" s="38">
        <f t="shared" si="3"/>
        <v>10.37</v>
      </c>
      <c r="J10" s="38">
        <f t="shared" si="3"/>
        <v>10.67</v>
      </c>
      <c r="K10" s="38">
        <f t="shared" si="3"/>
        <v>10.96</v>
      </c>
      <c r="L10" s="38">
        <f t="shared" si="3"/>
        <v>11.26</v>
      </c>
      <c r="M10" s="38">
        <f t="shared" si="3"/>
        <v>11.56</v>
      </c>
    </row>
    <row r="11" spans="1:13" x14ac:dyDescent="0.2">
      <c r="A11" s="13" t="s">
        <v>22</v>
      </c>
      <c r="B11" s="19">
        <f>($G$3-53)*2</f>
        <v>14</v>
      </c>
      <c r="C11" s="16" t="s">
        <v>48</v>
      </c>
      <c r="D11" s="38">
        <f>D12*$B$11</f>
        <v>186.76</v>
      </c>
      <c r="E11" s="38">
        <f t="shared" ref="E11:M11" si="4">E12*$B$11</f>
        <v>193.06</v>
      </c>
      <c r="F11" s="38">
        <f t="shared" si="4"/>
        <v>199.08</v>
      </c>
      <c r="G11" s="38">
        <f t="shared" si="4"/>
        <v>205.38</v>
      </c>
      <c r="H11" s="38">
        <f t="shared" si="4"/>
        <v>211.54</v>
      </c>
      <c r="I11" s="38">
        <f t="shared" si="4"/>
        <v>217.84</v>
      </c>
      <c r="J11" s="38">
        <f t="shared" si="4"/>
        <v>224.14000000000001</v>
      </c>
      <c r="K11" s="38">
        <f t="shared" si="4"/>
        <v>230.16000000000003</v>
      </c>
      <c r="L11" s="38">
        <f t="shared" si="4"/>
        <v>236.46</v>
      </c>
      <c r="M11" s="38">
        <f t="shared" si="4"/>
        <v>242.76</v>
      </c>
    </row>
    <row r="12" spans="1:13" x14ac:dyDescent="0.2">
      <c r="A12" s="13"/>
      <c r="B12" s="13"/>
      <c r="C12" s="16" t="s">
        <v>14</v>
      </c>
      <c r="D12" s="17">
        <f>IF(ROUND(D10*1.5,2)&lt;$G$139,ROUND(D10*1.5,2),IF($G$139&lt;D10,D10,$G$139))</f>
        <v>13.34</v>
      </c>
      <c r="E12" s="17">
        <f t="shared" ref="E12:M12" si="5">IF(ROUND(E10*1.5,2)&lt;$G$139,ROUND(E10*1.5,2),IF($G$139&lt;E10,E10,$G$139))</f>
        <v>13.79</v>
      </c>
      <c r="F12" s="17">
        <f t="shared" si="5"/>
        <v>14.22</v>
      </c>
      <c r="G12" s="17">
        <f t="shared" si="5"/>
        <v>14.67</v>
      </c>
      <c r="H12" s="17">
        <f t="shared" si="5"/>
        <v>15.11</v>
      </c>
      <c r="I12" s="17">
        <f t="shared" si="5"/>
        <v>15.56</v>
      </c>
      <c r="J12" s="17">
        <f t="shared" si="5"/>
        <v>16.010000000000002</v>
      </c>
      <c r="K12" s="17">
        <f t="shared" si="5"/>
        <v>16.440000000000001</v>
      </c>
      <c r="L12" s="17">
        <f t="shared" si="5"/>
        <v>16.89</v>
      </c>
      <c r="M12" s="17">
        <f t="shared" si="5"/>
        <v>17.34</v>
      </c>
    </row>
    <row r="13" spans="1:13" s="75" customFormat="1" x14ac:dyDescent="0.2">
      <c r="A13" s="74"/>
      <c r="B13" s="74"/>
      <c r="C13" s="36" t="s">
        <v>73</v>
      </c>
      <c r="D13" s="17">
        <f>IF(VLOOKUP('Start Page'!$C$46,'Locality Rates'!$A$2:$C$49,3,FALSE)=1,(ROUND(D8*'Start Page'!$C$48,2)*80)+(ROUND(D10*'Start Page'!$C$48,2)*($B$14-80)),0)</f>
        <v>0</v>
      </c>
      <c r="E13" s="17">
        <f>IF(VLOOKUP('Start Page'!$C$46,'Locality Rates'!$A$2:$C$49,3,FALSE)=1,(ROUND(E8*'Start Page'!$C$48,2)*80)+(ROUND(E10*'Start Page'!$C$48,2)*($B$14-80)),0)</f>
        <v>0</v>
      </c>
      <c r="F13" s="17">
        <f>IF(VLOOKUP('Start Page'!$C$46,'Locality Rates'!$A$2:$C$49,3,FALSE)=1,(ROUND(F8*'Start Page'!$C$48,2)*80)+(ROUND(F10*'Start Page'!$C$48,2)*($B$14-80)),0)</f>
        <v>0</v>
      </c>
      <c r="G13" s="17">
        <f>IF(VLOOKUP('Start Page'!$C$46,'Locality Rates'!$A$2:$C$49,3,FALSE)=1,(ROUND(G8*'Start Page'!$C$48,2)*80)+(ROUND(G10*'Start Page'!$C$48,2)*($B$14-80)),0)</f>
        <v>0</v>
      </c>
      <c r="H13" s="17">
        <f>IF(VLOOKUP('Start Page'!$C$46,'Locality Rates'!$A$2:$C$49,3,FALSE)=1,(ROUND(H8*'Start Page'!$C$48,2)*80)+(ROUND(H10*'Start Page'!$C$48,2)*($B$14-80)),0)</f>
        <v>0</v>
      </c>
      <c r="I13" s="17">
        <f>IF(VLOOKUP('Start Page'!$C$46,'Locality Rates'!$A$2:$C$49,3,FALSE)=1,(ROUND(I8*'Start Page'!$C$48,2)*80)+(ROUND(I10*'Start Page'!$C$48,2)*($B$14-80)),0)</f>
        <v>0</v>
      </c>
      <c r="J13" s="17">
        <f>IF(VLOOKUP('Start Page'!$C$46,'Locality Rates'!$A$2:$C$49,3,FALSE)=1,(ROUND(J8*'Start Page'!$C$48,2)*80)+(ROUND(J10*'Start Page'!$C$48,2)*($B$14-80)),0)</f>
        <v>0</v>
      </c>
      <c r="K13" s="17">
        <f>IF(VLOOKUP('Start Page'!$C$46,'Locality Rates'!$A$2:$C$49,3,FALSE)=1,(ROUND(K8*'Start Page'!$C$48,2)*80)+(ROUND(K10*'Start Page'!$C$48,2)*($B$14-80)),0)</f>
        <v>0</v>
      </c>
      <c r="L13" s="17">
        <f>IF(VLOOKUP('Start Page'!$C$46,'Locality Rates'!$A$2:$C$49,3,FALSE)=1,(ROUND(L8*'Start Page'!$C$48,2)*80)+(ROUND(L10*'Start Page'!$C$48,2)*($B$14-80)),0)</f>
        <v>0</v>
      </c>
      <c r="M13" s="17">
        <f>IF(VLOOKUP('Start Page'!$C$46,'Locality Rates'!$A$2:$C$49,3,FALSE)=1,(ROUND(M8*'Start Page'!$C$48,2)*80)+(ROUND(M10*'Start Page'!$C$48,2)*($B$14-80)),0)</f>
        <v>0</v>
      </c>
    </row>
    <row r="14" spans="1:13" x14ac:dyDescent="0.2">
      <c r="A14" s="13"/>
      <c r="B14" s="13">
        <f>B7+B9+B11</f>
        <v>120</v>
      </c>
      <c r="C14" s="20" t="s">
        <v>17</v>
      </c>
      <c r="D14" s="39">
        <f>D7+D9+D11+D13</f>
        <v>1357.1000000000001</v>
      </c>
      <c r="E14" s="39">
        <f t="shared" ref="E14:M14" si="6">E7+E9+E11+E13</f>
        <v>1402.4</v>
      </c>
      <c r="F14" s="39">
        <f t="shared" si="6"/>
        <v>1447.1599999999999</v>
      </c>
      <c r="G14" s="39">
        <f t="shared" si="6"/>
        <v>1492.46</v>
      </c>
      <c r="H14" s="39">
        <f t="shared" si="6"/>
        <v>1537.36</v>
      </c>
      <c r="I14" s="39">
        <f t="shared" si="6"/>
        <v>1582.66</v>
      </c>
      <c r="J14" s="39">
        <f t="shared" si="6"/>
        <v>1628.7600000000002</v>
      </c>
      <c r="K14" s="39">
        <f t="shared" si="6"/>
        <v>1673.5200000000002</v>
      </c>
      <c r="L14" s="39">
        <f t="shared" si="6"/>
        <v>1718.82</v>
      </c>
      <c r="M14" s="39">
        <f t="shared" si="6"/>
        <v>1764.12</v>
      </c>
    </row>
    <row r="15" spans="1:13" x14ac:dyDescent="0.2">
      <c r="A15" s="13"/>
      <c r="B15" s="13"/>
      <c r="C15" s="20" t="s">
        <v>33</v>
      </c>
      <c r="D15" s="39">
        <f>D14*'Start Page'!$C$54</f>
        <v>35284.600000000006</v>
      </c>
      <c r="E15" s="39">
        <f>E14*'Start Page'!$C$54</f>
        <v>36462.400000000001</v>
      </c>
      <c r="F15" s="39">
        <f>F14*'Start Page'!$C$54</f>
        <v>37626.159999999996</v>
      </c>
      <c r="G15" s="39">
        <f>G14*'Start Page'!$C$54</f>
        <v>38803.96</v>
      </c>
      <c r="H15" s="39">
        <f>H14*'Start Page'!$C$54</f>
        <v>39971.360000000001</v>
      </c>
      <c r="I15" s="39">
        <f>I14*'Start Page'!$C$54</f>
        <v>41149.160000000003</v>
      </c>
      <c r="J15" s="39">
        <f>J14*'Start Page'!$C$54</f>
        <v>42347.760000000009</v>
      </c>
      <c r="K15" s="39">
        <f>K14*'Start Page'!$C$54</f>
        <v>43511.520000000004</v>
      </c>
      <c r="L15" s="39">
        <f>L14*'Start Page'!$C$54</f>
        <v>44689.32</v>
      </c>
      <c r="M15" s="39">
        <f>M14*'Start Page'!$C$54</f>
        <v>45867.119999999995</v>
      </c>
    </row>
    <row r="16" spans="1:13" s="42" customFormat="1" x14ac:dyDescent="0.2">
      <c r="A16" s="22"/>
      <c r="B16" s="22"/>
      <c r="C16" s="23" t="s">
        <v>166</v>
      </c>
      <c r="D16" s="40">
        <f>((D8*80)+(D10*($B$14-80)))*'Start Page'!$C$54</f>
        <v>33664.800000000003</v>
      </c>
      <c r="E16" s="40">
        <f>((E8*80)+(E10*($B$14-80)))*'Start Page'!$C$54</f>
        <v>34788</v>
      </c>
      <c r="F16" s="40">
        <f>((F8*80)+(F10*($B$14-80)))*'Start Page'!$C$54</f>
        <v>35900.799999999996</v>
      </c>
      <c r="G16" s="40">
        <f>((G8*80)+(G10*($B$14-80)))*'Start Page'!$C$54</f>
        <v>37024</v>
      </c>
      <c r="H16" s="40">
        <f>((H8*80)+(H10*($B$14-80)))*'Start Page'!$C$54</f>
        <v>38136.799999999996</v>
      </c>
      <c r="I16" s="40">
        <f>((I8*80)+(I10*($B$14-80)))*'Start Page'!$C$54</f>
        <v>39260</v>
      </c>
      <c r="J16" s="40">
        <f>((J8*80)+(J10*($B$14-80)))*'Start Page'!$C$54</f>
        <v>40404</v>
      </c>
      <c r="K16" s="40">
        <f>((K8*80)+(K10*($B$14-80)))*'Start Page'!$C$54</f>
        <v>41516.800000000003</v>
      </c>
      <c r="L16" s="40">
        <f>((L8*80)+(L10*($B$14-80)))*'Start Page'!$C$54</f>
        <v>42640</v>
      </c>
      <c r="M16" s="41">
        <f>((M8*80)+(M10*($B$14-80)))*'Start Page'!$C$54</f>
        <v>43763.200000000004</v>
      </c>
    </row>
    <row r="17" spans="1:13" x14ac:dyDescent="0.2">
      <c r="A17" s="13"/>
      <c r="B17" s="27"/>
      <c r="C17" s="14" t="s">
        <v>30</v>
      </c>
      <c r="D17" s="34">
        <f>'GS Pay Scale'!B9</f>
        <v>27504</v>
      </c>
      <c r="E17" s="34">
        <f>'GS Pay Scale'!C9</f>
        <v>28421</v>
      </c>
      <c r="F17" s="34">
        <f>'GS Pay Scale'!D9</f>
        <v>29337</v>
      </c>
      <c r="G17" s="34">
        <f>'GS Pay Scale'!E9</f>
        <v>30254</v>
      </c>
      <c r="H17" s="34">
        <f>'GS Pay Scale'!F9</f>
        <v>31170</v>
      </c>
      <c r="I17" s="34">
        <f>'GS Pay Scale'!G9</f>
        <v>32087</v>
      </c>
      <c r="J17" s="34">
        <f>'GS Pay Scale'!H9</f>
        <v>33003</v>
      </c>
      <c r="K17" s="34">
        <f>'GS Pay Scale'!I9</f>
        <v>33920</v>
      </c>
      <c r="L17" s="34">
        <f>'GS Pay Scale'!J9</f>
        <v>34837</v>
      </c>
      <c r="M17" s="34">
        <f>'GS Pay Scale'!K9</f>
        <v>35753</v>
      </c>
    </row>
    <row r="18" spans="1:13" x14ac:dyDescent="0.2">
      <c r="A18" s="13"/>
      <c r="B18" s="13">
        <v>80</v>
      </c>
      <c r="C18" s="36" t="s">
        <v>52</v>
      </c>
      <c r="D18" s="37">
        <f t="shared" ref="D18:M18" si="7">D19*80</f>
        <v>1054.4000000000001</v>
      </c>
      <c r="E18" s="37">
        <f t="shared" si="7"/>
        <v>1089.5999999999999</v>
      </c>
      <c r="F18" s="37">
        <f t="shared" si="7"/>
        <v>1124.8</v>
      </c>
      <c r="G18" s="37">
        <f t="shared" si="7"/>
        <v>1160</v>
      </c>
      <c r="H18" s="37">
        <f t="shared" si="7"/>
        <v>1195.2</v>
      </c>
      <c r="I18" s="37">
        <f t="shared" si="7"/>
        <v>1229.5999999999999</v>
      </c>
      <c r="J18" s="37">
        <f t="shared" si="7"/>
        <v>1264.8</v>
      </c>
      <c r="K18" s="37">
        <f t="shared" si="7"/>
        <v>1300</v>
      </c>
      <c r="L18" s="37">
        <f t="shared" si="7"/>
        <v>1335.2</v>
      </c>
      <c r="M18" s="37">
        <f t="shared" si="7"/>
        <v>1370.3999999999999</v>
      </c>
    </row>
    <row r="19" spans="1:13" x14ac:dyDescent="0.2">
      <c r="A19" s="13"/>
      <c r="B19" s="13"/>
      <c r="C19" s="36" t="s">
        <v>20</v>
      </c>
      <c r="D19" s="38">
        <f>ROUND(D17/2087,2)</f>
        <v>13.18</v>
      </c>
      <c r="E19" s="38">
        <f t="shared" ref="E19:M19" si="8">ROUND(E17/2087,2)</f>
        <v>13.62</v>
      </c>
      <c r="F19" s="38">
        <f t="shared" si="8"/>
        <v>14.06</v>
      </c>
      <c r="G19" s="38">
        <f t="shared" si="8"/>
        <v>14.5</v>
      </c>
      <c r="H19" s="38">
        <f t="shared" si="8"/>
        <v>14.94</v>
      </c>
      <c r="I19" s="38">
        <f t="shared" si="8"/>
        <v>15.37</v>
      </c>
      <c r="J19" s="38">
        <f t="shared" si="8"/>
        <v>15.81</v>
      </c>
      <c r="K19" s="38">
        <f t="shared" si="8"/>
        <v>16.25</v>
      </c>
      <c r="L19" s="38">
        <f t="shared" si="8"/>
        <v>16.690000000000001</v>
      </c>
      <c r="M19" s="38">
        <f t="shared" si="8"/>
        <v>17.13</v>
      </c>
    </row>
    <row r="20" spans="1:13" x14ac:dyDescent="0.2">
      <c r="A20" s="13"/>
      <c r="B20" s="13">
        <v>26</v>
      </c>
      <c r="C20" s="16" t="s">
        <v>47</v>
      </c>
      <c r="D20" s="38">
        <f t="shared" ref="D20:M20" si="9">D21*26</f>
        <v>259.48</v>
      </c>
      <c r="E20" s="38">
        <f t="shared" si="9"/>
        <v>268.06</v>
      </c>
      <c r="F20" s="38">
        <f t="shared" si="9"/>
        <v>276.64</v>
      </c>
      <c r="G20" s="38">
        <f t="shared" si="9"/>
        <v>285.48</v>
      </c>
      <c r="H20" s="38">
        <f t="shared" si="9"/>
        <v>294.06</v>
      </c>
      <c r="I20" s="38">
        <f t="shared" si="9"/>
        <v>302.64</v>
      </c>
      <c r="J20" s="38">
        <f t="shared" si="9"/>
        <v>311.22000000000003</v>
      </c>
      <c r="K20" s="38">
        <f t="shared" si="9"/>
        <v>320.06</v>
      </c>
      <c r="L20" s="38">
        <f t="shared" si="9"/>
        <v>328.64</v>
      </c>
      <c r="M20" s="38">
        <f t="shared" si="9"/>
        <v>337.22</v>
      </c>
    </row>
    <row r="21" spans="1:13" x14ac:dyDescent="0.2">
      <c r="A21" s="13"/>
      <c r="B21" s="13"/>
      <c r="C21" s="16" t="s">
        <v>13</v>
      </c>
      <c r="D21" s="38">
        <f>ROUND(D17/2756,2)</f>
        <v>9.98</v>
      </c>
      <c r="E21" s="38">
        <f t="shared" ref="E21:M21" si="10">ROUND(E17/2756,2)</f>
        <v>10.31</v>
      </c>
      <c r="F21" s="38">
        <f t="shared" si="10"/>
        <v>10.64</v>
      </c>
      <c r="G21" s="38">
        <f t="shared" si="10"/>
        <v>10.98</v>
      </c>
      <c r="H21" s="38">
        <f t="shared" si="10"/>
        <v>11.31</v>
      </c>
      <c r="I21" s="38">
        <f t="shared" si="10"/>
        <v>11.64</v>
      </c>
      <c r="J21" s="38">
        <f t="shared" si="10"/>
        <v>11.97</v>
      </c>
      <c r="K21" s="38">
        <f t="shared" si="10"/>
        <v>12.31</v>
      </c>
      <c r="L21" s="38">
        <f t="shared" si="10"/>
        <v>12.64</v>
      </c>
      <c r="M21" s="38">
        <f t="shared" si="10"/>
        <v>12.97</v>
      </c>
    </row>
    <row r="22" spans="1:13" x14ac:dyDescent="0.2">
      <c r="A22" s="13" t="s">
        <v>23</v>
      </c>
      <c r="B22" s="19">
        <f>($G$3-53)*2</f>
        <v>14</v>
      </c>
      <c r="C22" s="16" t="s">
        <v>48</v>
      </c>
      <c r="D22" s="38">
        <f t="shared" ref="D22:M22" si="11">D23*$B$11</f>
        <v>209.58</v>
      </c>
      <c r="E22" s="38">
        <f t="shared" si="11"/>
        <v>216.58</v>
      </c>
      <c r="F22" s="38">
        <f t="shared" si="11"/>
        <v>223.44</v>
      </c>
      <c r="G22" s="38">
        <f t="shared" si="11"/>
        <v>230.57999999999998</v>
      </c>
      <c r="H22" s="38">
        <f t="shared" si="11"/>
        <v>237.57999999999998</v>
      </c>
      <c r="I22" s="38">
        <f t="shared" si="11"/>
        <v>244.44</v>
      </c>
      <c r="J22" s="38">
        <f t="shared" si="11"/>
        <v>251.44</v>
      </c>
      <c r="K22" s="38">
        <f t="shared" si="11"/>
        <v>258.58</v>
      </c>
      <c r="L22" s="38">
        <f t="shared" si="11"/>
        <v>265.44</v>
      </c>
      <c r="M22" s="38">
        <f t="shared" si="11"/>
        <v>272.44</v>
      </c>
    </row>
    <row r="23" spans="1:13" x14ac:dyDescent="0.2">
      <c r="A23" s="13"/>
      <c r="B23" s="13"/>
      <c r="C23" s="16" t="s">
        <v>14</v>
      </c>
      <c r="D23" s="17">
        <f>IF(ROUND(D21*1.5,2)&lt;$G$139,ROUND(D21*1.5,2),IF($G$139&lt;D21,D21,$G$139))</f>
        <v>14.97</v>
      </c>
      <c r="E23" s="17">
        <f t="shared" ref="E23:M23" si="12">IF(ROUND(E21*1.5,2)&lt;$G$139,ROUND(E21*1.5,2),IF($G$139&lt;E21,E21,$G$139))</f>
        <v>15.47</v>
      </c>
      <c r="F23" s="17">
        <f t="shared" si="12"/>
        <v>15.96</v>
      </c>
      <c r="G23" s="17">
        <f t="shared" si="12"/>
        <v>16.47</v>
      </c>
      <c r="H23" s="17">
        <f t="shared" si="12"/>
        <v>16.97</v>
      </c>
      <c r="I23" s="17">
        <f t="shared" si="12"/>
        <v>17.46</v>
      </c>
      <c r="J23" s="17">
        <f t="shared" si="12"/>
        <v>17.96</v>
      </c>
      <c r="K23" s="17">
        <f t="shared" si="12"/>
        <v>18.47</v>
      </c>
      <c r="L23" s="17">
        <f t="shared" si="12"/>
        <v>18.96</v>
      </c>
      <c r="M23" s="17">
        <f t="shared" si="12"/>
        <v>19.46</v>
      </c>
    </row>
    <row r="24" spans="1:13" s="75" customFormat="1" x14ac:dyDescent="0.2">
      <c r="A24" s="74"/>
      <c r="B24" s="74"/>
      <c r="C24" s="36" t="s">
        <v>73</v>
      </c>
      <c r="D24" s="17">
        <f>IF(VLOOKUP('Start Page'!$C$46,'Locality Rates'!$A$2:$C$49,3,FALSE)=1,(ROUND(D19*'Start Page'!$C$48,2)*80)+(ROUND(D21*'Start Page'!$C$48,2)*($B$14-80)),0)</f>
        <v>0</v>
      </c>
      <c r="E24" s="17">
        <f>IF(VLOOKUP('Start Page'!$C$46,'Locality Rates'!$A$2:$C$49,3,FALSE)=1,(ROUND(E19*'Start Page'!$C$48,2)*80)+(ROUND(E21*'Start Page'!$C$48,2)*($B$14-80)),0)</f>
        <v>0</v>
      </c>
      <c r="F24" s="17">
        <f>IF(VLOOKUP('Start Page'!$C$46,'Locality Rates'!$A$2:$C$49,3,FALSE)=1,(ROUND(F19*'Start Page'!$C$48,2)*80)+(ROUND(F21*'Start Page'!$C$48,2)*($B$14-80)),0)</f>
        <v>0</v>
      </c>
      <c r="G24" s="17">
        <f>IF(VLOOKUP('Start Page'!$C$46,'Locality Rates'!$A$2:$C$49,3,FALSE)=1,(ROUND(G19*'Start Page'!$C$48,2)*80)+(ROUND(G21*'Start Page'!$C$48,2)*($B$14-80)),0)</f>
        <v>0</v>
      </c>
      <c r="H24" s="17">
        <f>IF(VLOOKUP('Start Page'!$C$46,'Locality Rates'!$A$2:$C$49,3,FALSE)=1,(ROUND(H19*'Start Page'!$C$48,2)*80)+(ROUND(H21*'Start Page'!$C$48,2)*($B$14-80)),0)</f>
        <v>0</v>
      </c>
      <c r="I24" s="17">
        <f>IF(VLOOKUP('Start Page'!$C$46,'Locality Rates'!$A$2:$C$49,3,FALSE)=1,(ROUND(I19*'Start Page'!$C$48,2)*80)+(ROUND(I21*'Start Page'!$C$48,2)*($B$14-80)),0)</f>
        <v>0</v>
      </c>
      <c r="J24" s="17">
        <f>IF(VLOOKUP('Start Page'!$C$46,'Locality Rates'!$A$2:$C$49,3,FALSE)=1,(ROUND(J19*'Start Page'!$C$48,2)*80)+(ROUND(J21*'Start Page'!$C$48,2)*($B$14-80)),0)</f>
        <v>0</v>
      </c>
      <c r="K24" s="17">
        <f>IF(VLOOKUP('Start Page'!$C$46,'Locality Rates'!$A$2:$C$49,3,FALSE)=1,(ROUND(K19*'Start Page'!$C$48,2)*80)+(ROUND(K21*'Start Page'!$C$48,2)*($B$14-80)),0)</f>
        <v>0</v>
      </c>
      <c r="L24" s="17">
        <f>IF(VLOOKUP('Start Page'!$C$46,'Locality Rates'!$A$2:$C$49,3,FALSE)=1,(ROUND(L19*'Start Page'!$C$48,2)*80)+(ROUND(L21*'Start Page'!$C$48,2)*($B$14-80)),0)</f>
        <v>0</v>
      </c>
      <c r="M24" s="17">
        <f>IF(VLOOKUP('Start Page'!$C$46,'Locality Rates'!$A$2:$C$49,3,FALSE)=1,(ROUND(M19*'Start Page'!$C$48,2)*80)+(ROUND(M21*'Start Page'!$C$48,2)*($B$14-80)),0)</f>
        <v>0</v>
      </c>
    </row>
    <row r="25" spans="1:13" x14ac:dyDescent="0.2">
      <c r="A25" s="13"/>
      <c r="B25" s="13">
        <f>B18+B20+B22</f>
        <v>120</v>
      </c>
      <c r="C25" s="20" t="s">
        <v>17</v>
      </c>
      <c r="D25" s="39">
        <f t="shared" ref="D25:M25" si="13">D18+D20+D22+D24</f>
        <v>1523.46</v>
      </c>
      <c r="E25" s="39">
        <f t="shared" si="13"/>
        <v>1574.2399999999998</v>
      </c>
      <c r="F25" s="39">
        <f t="shared" si="13"/>
        <v>1624.88</v>
      </c>
      <c r="G25" s="39">
        <f t="shared" si="13"/>
        <v>1676.06</v>
      </c>
      <c r="H25" s="39">
        <f t="shared" si="13"/>
        <v>1726.84</v>
      </c>
      <c r="I25" s="39">
        <f t="shared" si="13"/>
        <v>1776.6799999999998</v>
      </c>
      <c r="J25" s="39">
        <f t="shared" si="13"/>
        <v>1827.46</v>
      </c>
      <c r="K25" s="39">
        <f t="shared" si="13"/>
        <v>1878.6399999999999</v>
      </c>
      <c r="L25" s="39">
        <f t="shared" si="13"/>
        <v>1929.2800000000002</v>
      </c>
      <c r="M25" s="39">
        <f t="shared" si="13"/>
        <v>1980.06</v>
      </c>
    </row>
    <row r="26" spans="1:13" x14ac:dyDescent="0.2">
      <c r="A26" s="13"/>
      <c r="B26" s="13"/>
      <c r="C26" s="20" t="s">
        <v>33</v>
      </c>
      <c r="D26" s="39">
        <f>D25*'Start Page'!$C$54</f>
        <v>39609.96</v>
      </c>
      <c r="E26" s="39">
        <f>E25*'Start Page'!$C$54</f>
        <v>40930.239999999991</v>
      </c>
      <c r="F26" s="39">
        <f>F25*'Start Page'!$C$54</f>
        <v>42246.880000000005</v>
      </c>
      <c r="G26" s="39">
        <f>G25*'Start Page'!$C$54</f>
        <v>43577.56</v>
      </c>
      <c r="H26" s="39">
        <f>H25*'Start Page'!$C$54</f>
        <v>44897.84</v>
      </c>
      <c r="I26" s="39">
        <f>I25*'Start Page'!$C$54</f>
        <v>46193.679999999993</v>
      </c>
      <c r="J26" s="39">
        <f>J25*'Start Page'!$C$54</f>
        <v>47513.96</v>
      </c>
      <c r="K26" s="39">
        <f>K25*'Start Page'!$C$54</f>
        <v>48844.639999999999</v>
      </c>
      <c r="L26" s="39">
        <f>L25*'Start Page'!$C$54</f>
        <v>50161.280000000006</v>
      </c>
      <c r="M26" s="39">
        <f>M25*'Start Page'!$C$54</f>
        <v>51481.56</v>
      </c>
    </row>
    <row r="27" spans="1:13" s="42" customFormat="1" x14ac:dyDescent="0.2">
      <c r="A27" s="22"/>
      <c r="B27" s="22"/>
      <c r="C27" s="23" t="s">
        <v>166</v>
      </c>
      <c r="D27" s="40">
        <f>((D19*80)+(D21*($B$14-80)))*'Start Page'!$C$54</f>
        <v>37793.600000000006</v>
      </c>
      <c r="E27" s="40">
        <f>((E19*80)+(E21*($B$14-80)))*'Start Page'!$C$54</f>
        <v>39052</v>
      </c>
      <c r="F27" s="40">
        <f>((F19*80)+(F21*($B$14-80)))*'Start Page'!$C$54</f>
        <v>40310.400000000001</v>
      </c>
      <c r="G27" s="40">
        <f>((G19*80)+(G21*($B$14-80)))*'Start Page'!$C$54</f>
        <v>41579.200000000004</v>
      </c>
      <c r="H27" s="40">
        <f>((H19*80)+(H21*($B$14-80)))*'Start Page'!$C$54</f>
        <v>42837.600000000006</v>
      </c>
      <c r="I27" s="40">
        <f>((I19*80)+(I21*($B$14-80)))*'Start Page'!$C$54</f>
        <v>44075.199999999997</v>
      </c>
      <c r="J27" s="40">
        <f>((J19*80)+(J21*($B$14-80)))*'Start Page'!$C$54</f>
        <v>45333.599999999999</v>
      </c>
      <c r="K27" s="40">
        <f>((K19*80)+(K21*($B$14-80)))*'Start Page'!$C$54</f>
        <v>46602.400000000001</v>
      </c>
      <c r="L27" s="40">
        <f>((L19*80)+(L21*($B$14-80)))*'Start Page'!$C$54</f>
        <v>47860.800000000003</v>
      </c>
      <c r="M27" s="41">
        <f>((M19*80)+(M21*($B$14-80)))*'Start Page'!$C$54</f>
        <v>49119.199999999997</v>
      </c>
    </row>
    <row r="28" spans="1:13" x14ac:dyDescent="0.2">
      <c r="A28" s="13"/>
      <c r="B28" s="27"/>
      <c r="C28" s="14" t="s">
        <v>30</v>
      </c>
      <c r="D28" s="34">
        <f>'GS Pay Scale'!B10</f>
        <v>30772</v>
      </c>
      <c r="E28" s="34">
        <f>'GS Pay Scale'!C10</f>
        <v>31798</v>
      </c>
      <c r="F28" s="34">
        <f>'GS Pay Scale'!D10</f>
        <v>32824</v>
      </c>
      <c r="G28" s="34">
        <f>'GS Pay Scale'!E10</f>
        <v>33849</v>
      </c>
      <c r="H28" s="34">
        <f>'GS Pay Scale'!F10</f>
        <v>34875</v>
      </c>
      <c r="I28" s="34">
        <f>'GS Pay Scale'!G10</f>
        <v>35901</v>
      </c>
      <c r="J28" s="34">
        <f>'GS Pay Scale'!H10</f>
        <v>36927</v>
      </c>
      <c r="K28" s="34">
        <f>'GS Pay Scale'!I10</f>
        <v>37953</v>
      </c>
      <c r="L28" s="34">
        <f>'GS Pay Scale'!J10</f>
        <v>38979</v>
      </c>
      <c r="M28" s="34">
        <f>'GS Pay Scale'!K10</f>
        <v>40005</v>
      </c>
    </row>
    <row r="29" spans="1:13" x14ac:dyDescent="0.2">
      <c r="A29" s="13"/>
      <c r="B29" s="13">
        <v>80</v>
      </c>
      <c r="C29" s="36" t="s">
        <v>52</v>
      </c>
      <c r="D29" s="37">
        <f t="shared" ref="D29:M29" si="14">D30*80</f>
        <v>1179.2</v>
      </c>
      <c r="E29" s="37">
        <f t="shared" si="14"/>
        <v>1219.2</v>
      </c>
      <c r="F29" s="37">
        <f t="shared" si="14"/>
        <v>1258.4000000000001</v>
      </c>
      <c r="G29" s="37">
        <f t="shared" si="14"/>
        <v>1297.5999999999999</v>
      </c>
      <c r="H29" s="37">
        <f t="shared" si="14"/>
        <v>1336.8000000000002</v>
      </c>
      <c r="I29" s="37">
        <f t="shared" si="14"/>
        <v>1376</v>
      </c>
      <c r="J29" s="37">
        <f t="shared" si="14"/>
        <v>1415.2</v>
      </c>
      <c r="K29" s="37">
        <f t="shared" si="14"/>
        <v>1455.2</v>
      </c>
      <c r="L29" s="37">
        <f t="shared" si="14"/>
        <v>1494.4</v>
      </c>
      <c r="M29" s="37">
        <f t="shared" si="14"/>
        <v>1533.6000000000001</v>
      </c>
    </row>
    <row r="30" spans="1:13" x14ac:dyDescent="0.2">
      <c r="A30" s="13"/>
      <c r="B30" s="13"/>
      <c r="C30" s="36" t="s">
        <v>20</v>
      </c>
      <c r="D30" s="38">
        <f>ROUND(D28/2087,2)</f>
        <v>14.74</v>
      </c>
      <c r="E30" s="38">
        <f t="shared" ref="E30:M30" si="15">ROUND(E28/2087,2)</f>
        <v>15.24</v>
      </c>
      <c r="F30" s="38">
        <f t="shared" si="15"/>
        <v>15.73</v>
      </c>
      <c r="G30" s="38">
        <f t="shared" si="15"/>
        <v>16.22</v>
      </c>
      <c r="H30" s="38">
        <f t="shared" si="15"/>
        <v>16.71</v>
      </c>
      <c r="I30" s="38">
        <f t="shared" si="15"/>
        <v>17.2</v>
      </c>
      <c r="J30" s="38">
        <f t="shared" si="15"/>
        <v>17.690000000000001</v>
      </c>
      <c r="K30" s="38">
        <f t="shared" si="15"/>
        <v>18.190000000000001</v>
      </c>
      <c r="L30" s="38">
        <f t="shared" si="15"/>
        <v>18.68</v>
      </c>
      <c r="M30" s="38">
        <f t="shared" si="15"/>
        <v>19.170000000000002</v>
      </c>
    </row>
    <row r="31" spans="1:13" x14ac:dyDescent="0.2">
      <c r="A31" s="13"/>
      <c r="B31" s="13">
        <v>26</v>
      </c>
      <c r="C31" s="16" t="s">
        <v>47</v>
      </c>
      <c r="D31" s="38">
        <f t="shared" ref="D31:M31" si="16">D32*26</f>
        <v>290.42</v>
      </c>
      <c r="E31" s="38">
        <f t="shared" si="16"/>
        <v>300.03999999999996</v>
      </c>
      <c r="F31" s="38">
        <f t="shared" si="16"/>
        <v>309.66000000000003</v>
      </c>
      <c r="G31" s="38">
        <f t="shared" si="16"/>
        <v>319.27999999999997</v>
      </c>
      <c r="H31" s="38">
        <f t="shared" si="16"/>
        <v>328.90000000000003</v>
      </c>
      <c r="I31" s="38">
        <f t="shared" si="16"/>
        <v>338.78</v>
      </c>
      <c r="J31" s="38">
        <f t="shared" si="16"/>
        <v>348.40000000000003</v>
      </c>
      <c r="K31" s="38">
        <f t="shared" si="16"/>
        <v>358.02</v>
      </c>
      <c r="L31" s="38">
        <f t="shared" si="16"/>
        <v>367.64</v>
      </c>
      <c r="M31" s="38">
        <f t="shared" si="16"/>
        <v>377.52</v>
      </c>
    </row>
    <row r="32" spans="1:13" x14ac:dyDescent="0.2">
      <c r="A32" s="13"/>
      <c r="B32" s="13"/>
      <c r="C32" s="16" t="s">
        <v>13</v>
      </c>
      <c r="D32" s="38">
        <f>ROUND(D28/2756,2)</f>
        <v>11.17</v>
      </c>
      <c r="E32" s="38">
        <f t="shared" ref="E32:M32" si="17">ROUND(E28/2756,2)</f>
        <v>11.54</v>
      </c>
      <c r="F32" s="38">
        <f t="shared" si="17"/>
        <v>11.91</v>
      </c>
      <c r="G32" s="38">
        <f t="shared" si="17"/>
        <v>12.28</v>
      </c>
      <c r="H32" s="38">
        <f t="shared" si="17"/>
        <v>12.65</v>
      </c>
      <c r="I32" s="38">
        <f t="shared" si="17"/>
        <v>13.03</v>
      </c>
      <c r="J32" s="38">
        <f t="shared" si="17"/>
        <v>13.4</v>
      </c>
      <c r="K32" s="38">
        <f t="shared" si="17"/>
        <v>13.77</v>
      </c>
      <c r="L32" s="38">
        <f t="shared" si="17"/>
        <v>14.14</v>
      </c>
      <c r="M32" s="38">
        <f t="shared" si="17"/>
        <v>14.52</v>
      </c>
    </row>
    <row r="33" spans="1:13" x14ac:dyDescent="0.2">
      <c r="A33" s="13" t="s">
        <v>24</v>
      </c>
      <c r="B33" s="19">
        <f>($G$3-53)*2</f>
        <v>14</v>
      </c>
      <c r="C33" s="16" t="s">
        <v>48</v>
      </c>
      <c r="D33" s="38">
        <f t="shared" ref="D33:M33" si="18">D34*$B$11</f>
        <v>234.64000000000001</v>
      </c>
      <c r="E33" s="38">
        <f t="shared" si="18"/>
        <v>242.33999999999997</v>
      </c>
      <c r="F33" s="38">
        <f t="shared" si="18"/>
        <v>250.18</v>
      </c>
      <c r="G33" s="38">
        <f t="shared" si="18"/>
        <v>257.88</v>
      </c>
      <c r="H33" s="38">
        <f t="shared" si="18"/>
        <v>265.72000000000003</v>
      </c>
      <c r="I33" s="38">
        <f t="shared" si="18"/>
        <v>273.7</v>
      </c>
      <c r="J33" s="38">
        <f t="shared" si="18"/>
        <v>281.40000000000003</v>
      </c>
      <c r="K33" s="38">
        <f t="shared" si="18"/>
        <v>289.24</v>
      </c>
      <c r="L33" s="38">
        <f t="shared" si="18"/>
        <v>296.94</v>
      </c>
      <c r="M33" s="38">
        <f t="shared" si="18"/>
        <v>304.92</v>
      </c>
    </row>
    <row r="34" spans="1:13" x14ac:dyDescent="0.2">
      <c r="A34" s="13"/>
      <c r="B34" s="13"/>
      <c r="C34" s="16" t="s">
        <v>14</v>
      </c>
      <c r="D34" s="17">
        <f>IF(ROUND(D32*1.5,2)&lt;$G$139,ROUND(D32*1.5,2),IF($G$139&lt;D32,D32,$G$139))</f>
        <v>16.760000000000002</v>
      </c>
      <c r="E34" s="17">
        <f t="shared" ref="E34:M34" si="19">IF(ROUND(E32*1.5,2)&lt;$G$139,ROUND(E32*1.5,2),IF($G$139&lt;E32,E32,$G$139))</f>
        <v>17.309999999999999</v>
      </c>
      <c r="F34" s="17">
        <f t="shared" si="19"/>
        <v>17.87</v>
      </c>
      <c r="G34" s="17">
        <f t="shared" si="19"/>
        <v>18.420000000000002</v>
      </c>
      <c r="H34" s="17">
        <f t="shared" si="19"/>
        <v>18.98</v>
      </c>
      <c r="I34" s="17">
        <f t="shared" si="19"/>
        <v>19.55</v>
      </c>
      <c r="J34" s="17">
        <f t="shared" si="19"/>
        <v>20.100000000000001</v>
      </c>
      <c r="K34" s="17">
        <f t="shared" si="19"/>
        <v>20.66</v>
      </c>
      <c r="L34" s="17">
        <f t="shared" si="19"/>
        <v>21.21</v>
      </c>
      <c r="M34" s="17">
        <f t="shared" si="19"/>
        <v>21.78</v>
      </c>
    </row>
    <row r="35" spans="1:13" s="75" customFormat="1" x14ac:dyDescent="0.2">
      <c r="A35" s="74"/>
      <c r="B35" s="74"/>
      <c r="C35" s="36" t="s">
        <v>73</v>
      </c>
      <c r="D35" s="17">
        <f>IF(VLOOKUP('Start Page'!$C$46,'Locality Rates'!$A$2:$C$49,3,FALSE)=1,(ROUND(D30*'Start Page'!$C$48,2)*80)+(ROUND(D32*'Start Page'!$C$48,2)*($B$14-80)),0)</f>
        <v>0</v>
      </c>
      <c r="E35" s="17">
        <f>IF(VLOOKUP('Start Page'!$C$46,'Locality Rates'!$A$2:$C$49,3,FALSE)=1,(ROUND(E30*'Start Page'!$C$48,2)*80)+(ROUND(E32*'Start Page'!$C$48,2)*($B$14-80)),0)</f>
        <v>0</v>
      </c>
      <c r="F35" s="17">
        <f>IF(VLOOKUP('Start Page'!$C$46,'Locality Rates'!$A$2:$C$49,3,FALSE)=1,(ROUND(F30*'Start Page'!$C$48,2)*80)+(ROUND(F32*'Start Page'!$C$48,2)*($B$14-80)),0)</f>
        <v>0</v>
      </c>
      <c r="G35" s="17">
        <f>IF(VLOOKUP('Start Page'!$C$46,'Locality Rates'!$A$2:$C$49,3,FALSE)=1,(ROUND(G30*'Start Page'!$C$48,2)*80)+(ROUND(G32*'Start Page'!$C$48,2)*($B$14-80)),0)</f>
        <v>0</v>
      </c>
      <c r="H35" s="17">
        <f>IF(VLOOKUP('Start Page'!$C$46,'Locality Rates'!$A$2:$C$49,3,FALSE)=1,(ROUND(H30*'Start Page'!$C$48,2)*80)+(ROUND(H32*'Start Page'!$C$48,2)*($B$14-80)),0)</f>
        <v>0</v>
      </c>
      <c r="I35" s="17">
        <f>IF(VLOOKUP('Start Page'!$C$46,'Locality Rates'!$A$2:$C$49,3,FALSE)=1,(ROUND(I30*'Start Page'!$C$48,2)*80)+(ROUND(I32*'Start Page'!$C$48,2)*($B$14-80)),0)</f>
        <v>0</v>
      </c>
      <c r="J35" s="17">
        <f>IF(VLOOKUP('Start Page'!$C$46,'Locality Rates'!$A$2:$C$49,3,FALSE)=1,(ROUND(J30*'Start Page'!$C$48,2)*80)+(ROUND(J32*'Start Page'!$C$48,2)*($B$14-80)),0)</f>
        <v>0</v>
      </c>
      <c r="K35" s="17">
        <f>IF(VLOOKUP('Start Page'!$C$46,'Locality Rates'!$A$2:$C$49,3,FALSE)=1,(ROUND(K30*'Start Page'!$C$48,2)*80)+(ROUND(K32*'Start Page'!$C$48,2)*($B$14-80)),0)</f>
        <v>0</v>
      </c>
      <c r="L35" s="17">
        <f>IF(VLOOKUP('Start Page'!$C$46,'Locality Rates'!$A$2:$C$49,3,FALSE)=1,(ROUND(L30*'Start Page'!$C$48,2)*80)+(ROUND(L32*'Start Page'!$C$48,2)*($B$14-80)),0)</f>
        <v>0</v>
      </c>
      <c r="M35" s="17">
        <f>IF(VLOOKUP('Start Page'!$C$46,'Locality Rates'!$A$2:$C$49,3,FALSE)=1,(ROUND(M30*'Start Page'!$C$48,2)*80)+(ROUND(M32*'Start Page'!$C$48,2)*($B$14-80)),0)</f>
        <v>0</v>
      </c>
    </row>
    <row r="36" spans="1:13" x14ac:dyDescent="0.2">
      <c r="A36" s="13"/>
      <c r="B36" s="13">
        <f>B29+B31+B33</f>
        <v>120</v>
      </c>
      <c r="C36" s="20" t="s">
        <v>17</v>
      </c>
      <c r="D36" s="39">
        <f t="shared" ref="D36:M36" si="20">D29+D31+D33+D35</f>
        <v>1704.2600000000002</v>
      </c>
      <c r="E36" s="39">
        <f t="shared" si="20"/>
        <v>1761.58</v>
      </c>
      <c r="F36" s="39">
        <f t="shared" si="20"/>
        <v>1818.2400000000002</v>
      </c>
      <c r="G36" s="39">
        <f t="shared" si="20"/>
        <v>1874.7599999999998</v>
      </c>
      <c r="H36" s="39">
        <f t="shared" si="20"/>
        <v>1931.4200000000003</v>
      </c>
      <c r="I36" s="39">
        <f t="shared" si="20"/>
        <v>1988.48</v>
      </c>
      <c r="J36" s="39">
        <f t="shared" si="20"/>
        <v>2045.0000000000002</v>
      </c>
      <c r="K36" s="39">
        <f t="shared" si="20"/>
        <v>2102.46</v>
      </c>
      <c r="L36" s="39">
        <f t="shared" si="20"/>
        <v>2158.98</v>
      </c>
      <c r="M36" s="39">
        <f t="shared" si="20"/>
        <v>2216.04</v>
      </c>
    </row>
    <row r="37" spans="1:13" x14ac:dyDescent="0.2">
      <c r="A37" s="13"/>
      <c r="B37" s="13"/>
      <c r="C37" s="20" t="s">
        <v>33</v>
      </c>
      <c r="D37" s="39">
        <f>D36*'Start Page'!$C$54</f>
        <v>44310.760000000009</v>
      </c>
      <c r="E37" s="39">
        <f>E36*'Start Page'!$C$54</f>
        <v>45801.08</v>
      </c>
      <c r="F37" s="39">
        <f>F36*'Start Page'!$C$54</f>
        <v>47274.240000000005</v>
      </c>
      <c r="G37" s="39">
        <f>G36*'Start Page'!$C$54</f>
        <v>48743.759999999995</v>
      </c>
      <c r="H37" s="39">
        <f>H36*'Start Page'!$C$54</f>
        <v>50216.920000000006</v>
      </c>
      <c r="I37" s="39">
        <f>I36*'Start Page'!$C$54</f>
        <v>51700.480000000003</v>
      </c>
      <c r="J37" s="39">
        <f>J36*'Start Page'!$C$54</f>
        <v>53170.000000000007</v>
      </c>
      <c r="K37" s="39">
        <f>K36*'Start Page'!$C$54</f>
        <v>54663.96</v>
      </c>
      <c r="L37" s="39">
        <f>L36*'Start Page'!$C$54</f>
        <v>56133.48</v>
      </c>
      <c r="M37" s="39">
        <f>M36*'Start Page'!$C$54</f>
        <v>57617.04</v>
      </c>
    </row>
    <row r="38" spans="1:13" s="42" customFormat="1" x14ac:dyDescent="0.2">
      <c r="A38" s="22"/>
      <c r="B38" s="22"/>
      <c r="C38" s="23" t="s">
        <v>166</v>
      </c>
      <c r="D38" s="40">
        <f>((D30*80)+(D32*($B$14-80)))*'Start Page'!$C$54</f>
        <v>42276</v>
      </c>
      <c r="E38" s="40">
        <f>((E30*80)+(E32*($B$14-80)))*'Start Page'!$C$54</f>
        <v>43700.799999999996</v>
      </c>
      <c r="F38" s="40">
        <f>((F30*80)+(F32*($B$14-80)))*'Start Page'!$C$54</f>
        <v>45104.800000000003</v>
      </c>
      <c r="G38" s="40">
        <f>((G30*80)+(G32*($B$14-80)))*'Start Page'!$C$54</f>
        <v>46508.799999999996</v>
      </c>
      <c r="H38" s="40">
        <f>((H30*80)+(H32*($B$14-80)))*'Start Page'!$C$54</f>
        <v>47912.800000000003</v>
      </c>
      <c r="I38" s="40">
        <f>((I30*80)+(I32*($B$14-80)))*'Start Page'!$C$54</f>
        <v>49327.199999999997</v>
      </c>
      <c r="J38" s="40">
        <f>((J30*80)+(J32*($B$14-80)))*'Start Page'!$C$54</f>
        <v>50731.200000000004</v>
      </c>
      <c r="K38" s="40">
        <f>((K30*80)+(K32*($B$14-80)))*'Start Page'!$C$54</f>
        <v>52156</v>
      </c>
      <c r="L38" s="40">
        <f>((L30*80)+(L32*($B$14-80)))*'Start Page'!$C$54</f>
        <v>53560</v>
      </c>
      <c r="M38" s="41">
        <f>((M30*80)+(M32*($B$14-80)))*'Start Page'!$C$54</f>
        <v>54974.400000000001</v>
      </c>
    </row>
    <row r="39" spans="1:13" x14ac:dyDescent="0.2">
      <c r="A39" s="13"/>
      <c r="B39" s="27"/>
      <c r="C39" s="14" t="s">
        <v>30</v>
      </c>
      <c r="D39" s="34">
        <f>'GS Pay Scale'!B11</f>
        <v>34300</v>
      </c>
      <c r="E39" s="34">
        <f>'GS Pay Scale'!C11</f>
        <v>35443</v>
      </c>
      <c r="F39" s="34">
        <f>'GS Pay Scale'!D11</f>
        <v>36587</v>
      </c>
      <c r="G39" s="34">
        <f>'GS Pay Scale'!E11</f>
        <v>37730</v>
      </c>
      <c r="H39" s="34">
        <f>'GS Pay Scale'!F11</f>
        <v>38873</v>
      </c>
      <c r="I39" s="34">
        <f>'GS Pay Scale'!G11</f>
        <v>40016</v>
      </c>
      <c r="J39" s="34">
        <f>'GS Pay Scale'!H11</f>
        <v>41159</v>
      </c>
      <c r="K39" s="34">
        <f>'GS Pay Scale'!I11</f>
        <v>42302</v>
      </c>
      <c r="L39" s="34">
        <f>'GS Pay Scale'!J11</f>
        <v>43446</v>
      </c>
      <c r="M39" s="34">
        <f>'GS Pay Scale'!K11</f>
        <v>44589</v>
      </c>
    </row>
    <row r="40" spans="1:13" x14ac:dyDescent="0.2">
      <c r="A40" s="13"/>
      <c r="B40" s="13">
        <v>80</v>
      </c>
      <c r="C40" s="36" t="s">
        <v>52</v>
      </c>
      <c r="D40" s="37">
        <f t="shared" ref="D40:M40" si="21">D41*80</f>
        <v>1315.2</v>
      </c>
      <c r="E40" s="37">
        <f t="shared" si="21"/>
        <v>1358.4</v>
      </c>
      <c r="F40" s="37">
        <f t="shared" si="21"/>
        <v>1402.4</v>
      </c>
      <c r="G40" s="37">
        <f t="shared" si="21"/>
        <v>1446.3999999999999</v>
      </c>
      <c r="H40" s="37">
        <f t="shared" si="21"/>
        <v>1490.3999999999999</v>
      </c>
      <c r="I40" s="37">
        <f t="shared" si="21"/>
        <v>1533.6000000000001</v>
      </c>
      <c r="J40" s="37">
        <f t="shared" si="21"/>
        <v>1577.6</v>
      </c>
      <c r="K40" s="37">
        <f t="shared" si="21"/>
        <v>1621.6</v>
      </c>
      <c r="L40" s="37">
        <f t="shared" si="21"/>
        <v>1665.6</v>
      </c>
      <c r="M40" s="37">
        <f t="shared" si="21"/>
        <v>1709.6000000000001</v>
      </c>
    </row>
    <row r="41" spans="1:13" x14ac:dyDescent="0.2">
      <c r="A41" s="13"/>
      <c r="B41" s="13"/>
      <c r="C41" s="36" t="s">
        <v>20</v>
      </c>
      <c r="D41" s="38">
        <f>ROUND(D39/2087,2)</f>
        <v>16.440000000000001</v>
      </c>
      <c r="E41" s="38">
        <f t="shared" ref="E41:M41" si="22">ROUND(E39/2087,2)</f>
        <v>16.98</v>
      </c>
      <c r="F41" s="38">
        <f t="shared" si="22"/>
        <v>17.53</v>
      </c>
      <c r="G41" s="38">
        <f t="shared" si="22"/>
        <v>18.079999999999998</v>
      </c>
      <c r="H41" s="38">
        <f t="shared" si="22"/>
        <v>18.63</v>
      </c>
      <c r="I41" s="38">
        <f t="shared" si="22"/>
        <v>19.170000000000002</v>
      </c>
      <c r="J41" s="38">
        <f t="shared" si="22"/>
        <v>19.72</v>
      </c>
      <c r="K41" s="38">
        <f t="shared" si="22"/>
        <v>20.27</v>
      </c>
      <c r="L41" s="38">
        <f t="shared" si="22"/>
        <v>20.82</v>
      </c>
      <c r="M41" s="38">
        <f t="shared" si="22"/>
        <v>21.37</v>
      </c>
    </row>
    <row r="42" spans="1:13" x14ac:dyDescent="0.2">
      <c r="A42" s="13"/>
      <c r="B42" s="13">
        <v>26</v>
      </c>
      <c r="C42" s="16" t="s">
        <v>47</v>
      </c>
      <c r="D42" s="38">
        <f t="shared" ref="D42:M42" si="23">D43*26</f>
        <v>323.7</v>
      </c>
      <c r="E42" s="38">
        <f t="shared" si="23"/>
        <v>334.36</v>
      </c>
      <c r="F42" s="38">
        <f t="shared" si="23"/>
        <v>345.28</v>
      </c>
      <c r="G42" s="38">
        <f t="shared" si="23"/>
        <v>355.94</v>
      </c>
      <c r="H42" s="38">
        <f t="shared" si="23"/>
        <v>366.59999999999997</v>
      </c>
      <c r="I42" s="38">
        <f t="shared" si="23"/>
        <v>377.52</v>
      </c>
      <c r="J42" s="38">
        <f t="shared" si="23"/>
        <v>388.18</v>
      </c>
      <c r="K42" s="38">
        <f t="shared" si="23"/>
        <v>399.09999999999997</v>
      </c>
      <c r="L42" s="38">
        <f t="shared" si="23"/>
        <v>409.76</v>
      </c>
      <c r="M42" s="38">
        <f t="shared" si="23"/>
        <v>420.68</v>
      </c>
    </row>
    <row r="43" spans="1:13" x14ac:dyDescent="0.2">
      <c r="A43" s="13"/>
      <c r="B43" s="13"/>
      <c r="C43" s="16" t="s">
        <v>13</v>
      </c>
      <c r="D43" s="38">
        <f>ROUND(D39/2756,2)</f>
        <v>12.45</v>
      </c>
      <c r="E43" s="38">
        <f t="shared" ref="E43:M43" si="24">ROUND(E39/2756,2)</f>
        <v>12.86</v>
      </c>
      <c r="F43" s="38">
        <f t="shared" si="24"/>
        <v>13.28</v>
      </c>
      <c r="G43" s="38">
        <f t="shared" si="24"/>
        <v>13.69</v>
      </c>
      <c r="H43" s="38">
        <f t="shared" si="24"/>
        <v>14.1</v>
      </c>
      <c r="I43" s="38">
        <f t="shared" si="24"/>
        <v>14.52</v>
      </c>
      <c r="J43" s="38">
        <f t="shared" si="24"/>
        <v>14.93</v>
      </c>
      <c r="K43" s="38">
        <f t="shared" si="24"/>
        <v>15.35</v>
      </c>
      <c r="L43" s="38">
        <f t="shared" si="24"/>
        <v>15.76</v>
      </c>
      <c r="M43" s="38">
        <f t="shared" si="24"/>
        <v>16.18</v>
      </c>
    </row>
    <row r="44" spans="1:13" x14ac:dyDescent="0.2">
      <c r="A44" s="13" t="s">
        <v>18</v>
      </c>
      <c r="B44" s="19">
        <f>($G$3-53)*2</f>
        <v>14</v>
      </c>
      <c r="C44" s="16" t="s">
        <v>48</v>
      </c>
      <c r="D44" s="38">
        <f t="shared" ref="D44:M44" si="25">D45*$B$11</f>
        <v>261.52</v>
      </c>
      <c r="E44" s="38">
        <f t="shared" si="25"/>
        <v>270.06</v>
      </c>
      <c r="F44" s="38">
        <f t="shared" si="25"/>
        <v>278.88</v>
      </c>
      <c r="G44" s="38">
        <f t="shared" si="25"/>
        <v>287.56</v>
      </c>
      <c r="H44" s="38">
        <f t="shared" si="25"/>
        <v>296.09999999999997</v>
      </c>
      <c r="I44" s="38">
        <f t="shared" si="25"/>
        <v>304.92</v>
      </c>
      <c r="J44" s="38">
        <f t="shared" si="25"/>
        <v>313.59999999999997</v>
      </c>
      <c r="K44" s="38">
        <f t="shared" si="25"/>
        <v>322.42</v>
      </c>
      <c r="L44" s="38">
        <f t="shared" si="25"/>
        <v>330.96000000000004</v>
      </c>
      <c r="M44" s="38">
        <f t="shared" si="25"/>
        <v>339.78</v>
      </c>
    </row>
    <row r="45" spans="1:13" x14ac:dyDescent="0.2">
      <c r="A45" s="13"/>
      <c r="B45" s="13"/>
      <c r="C45" s="16" t="s">
        <v>14</v>
      </c>
      <c r="D45" s="17">
        <f>IF(ROUND(D43*1.5,2)&lt;$G$139,ROUND(D43*1.5,2),IF($G$139&lt;D43,D43,$G$139))</f>
        <v>18.68</v>
      </c>
      <c r="E45" s="17">
        <f t="shared" ref="E45:M45" si="26">IF(ROUND(E43*1.5,2)&lt;$G$139,ROUND(E43*1.5,2),IF($G$139&lt;E43,E43,$G$139))</f>
        <v>19.29</v>
      </c>
      <c r="F45" s="17">
        <f t="shared" si="26"/>
        <v>19.920000000000002</v>
      </c>
      <c r="G45" s="17">
        <f t="shared" si="26"/>
        <v>20.54</v>
      </c>
      <c r="H45" s="17">
        <f t="shared" si="26"/>
        <v>21.15</v>
      </c>
      <c r="I45" s="17">
        <f t="shared" si="26"/>
        <v>21.78</v>
      </c>
      <c r="J45" s="17">
        <f t="shared" si="26"/>
        <v>22.4</v>
      </c>
      <c r="K45" s="17">
        <f t="shared" si="26"/>
        <v>23.03</v>
      </c>
      <c r="L45" s="17">
        <f t="shared" si="26"/>
        <v>23.64</v>
      </c>
      <c r="M45" s="17">
        <f t="shared" si="26"/>
        <v>24.27</v>
      </c>
    </row>
    <row r="46" spans="1:13" s="75" customFormat="1" x14ac:dyDescent="0.2">
      <c r="A46" s="74"/>
      <c r="B46" s="74"/>
      <c r="C46" s="36" t="s">
        <v>73</v>
      </c>
      <c r="D46" s="17">
        <f>IF(VLOOKUP('Start Page'!$C$46,'Locality Rates'!$A$2:$C$49,3,FALSE)=1,(ROUND(D41*'Start Page'!$C$48,2)*80)+(ROUND(D43*'Start Page'!$C$48,2)*($B$14-80)),0)</f>
        <v>0</v>
      </c>
      <c r="E46" s="17">
        <f>IF(VLOOKUP('Start Page'!$C$46,'Locality Rates'!$A$2:$C$49,3,FALSE)=1,(ROUND(E41*'Start Page'!$C$48,2)*80)+(ROUND(E43*'Start Page'!$C$48,2)*($B$14-80)),0)</f>
        <v>0</v>
      </c>
      <c r="F46" s="17">
        <f>IF(VLOOKUP('Start Page'!$C$46,'Locality Rates'!$A$2:$C$49,3,FALSE)=1,(ROUND(F41*'Start Page'!$C$48,2)*80)+(ROUND(F43*'Start Page'!$C$48,2)*($B$14-80)),0)</f>
        <v>0</v>
      </c>
      <c r="G46" s="17">
        <f>IF(VLOOKUP('Start Page'!$C$46,'Locality Rates'!$A$2:$C$49,3,FALSE)=1,(ROUND(G41*'Start Page'!$C$48,2)*80)+(ROUND(G43*'Start Page'!$C$48,2)*($B$14-80)),0)</f>
        <v>0</v>
      </c>
      <c r="H46" s="17">
        <f>IF(VLOOKUP('Start Page'!$C$46,'Locality Rates'!$A$2:$C$49,3,FALSE)=1,(ROUND(H41*'Start Page'!$C$48,2)*80)+(ROUND(H43*'Start Page'!$C$48,2)*($B$14-80)),0)</f>
        <v>0</v>
      </c>
      <c r="I46" s="17">
        <f>IF(VLOOKUP('Start Page'!$C$46,'Locality Rates'!$A$2:$C$49,3,FALSE)=1,(ROUND(I41*'Start Page'!$C$48,2)*80)+(ROUND(I43*'Start Page'!$C$48,2)*($B$14-80)),0)</f>
        <v>0</v>
      </c>
      <c r="J46" s="17">
        <f>IF(VLOOKUP('Start Page'!$C$46,'Locality Rates'!$A$2:$C$49,3,FALSE)=1,(ROUND(J41*'Start Page'!$C$48,2)*80)+(ROUND(J43*'Start Page'!$C$48,2)*($B$14-80)),0)</f>
        <v>0</v>
      </c>
      <c r="K46" s="17">
        <f>IF(VLOOKUP('Start Page'!$C$46,'Locality Rates'!$A$2:$C$49,3,FALSE)=1,(ROUND(K41*'Start Page'!$C$48,2)*80)+(ROUND(K43*'Start Page'!$C$48,2)*($B$14-80)),0)</f>
        <v>0</v>
      </c>
      <c r="L46" s="17">
        <f>IF(VLOOKUP('Start Page'!$C$46,'Locality Rates'!$A$2:$C$49,3,FALSE)=1,(ROUND(L41*'Start Page'!$C$48,2)*80)+(ROUND(L43*'Start Page'!$C$48,2)*($B$14-80)),0)</f>
        <v>0</v>
      </c>
      <c r="M46" s="17">
        <f>IF(VLOOKUP('Start Page'!$C$46,'Locality Rates'!$A$2:$C$49,3,FALSE)=1,(ROUND(M41*'Start Page'!$C$48,2)*80)+(ROUND(M43*'Start Page'!$C$48,2)*($B$14-80)),0)</f>
        <v>0</v>
      </c>
    </row>
    <row r="47" spans="1:13" x14ac:dyDescent="0.2">
      <c r="A47" s="13"/>
      <c r="B47" s="13">
        <f>B40+B42+B44</f>
        <v>120</v>
      </c>
      <c r="C47" s="20" t="s">
        <v>17</v>
      </c>
      <c r="D47" s="39">
        <f t="shared" ref="D47:M47" si="27">D40+D42+D44+D46</f>
        <v>1900.42</v>
      </c>
      <c r="E47" s="39">
        <f t="shared" si="27"/>
        <v>1962.8200000000002</v>
      </c>
      <c r="F47" s="39">
        <f t="shared" si="27"/>
        <v>2026.56</v>
      </c>
      <c r="G47" s="39">
        <f t="shared" si="27"/>
        <v>2089.9</v>
      </c>
      <c r="H47" s="39">
        <f t="shared" si="27"/>
        <v>2153.1</v>
      </c>
      <c r="I47" s="39">
        <f t="shared" si="27"/>
        <v>2216.04</v>
      </c>
      <c r="J47" s="39">
        <f t="shared" si="27"/>
        <v>2279.38</v>
      </c>
      <c r="K47" s="39">
        <f t="shared" si="27"/>
        <v>2343.12</v>
      </c>
      <c r="L47" s="39">
        <f t="shared" si="27"/>
        <v>2406.3199999999997</v>
      </c>
      <c r="M47" s="39">
        <f t="shared" si="27"/>
        <v>2470.0600000000004</v>
      </c>
    </row>
    <row r="48" spans="1:13" x14ac:dyDescent="0.2">
      <c r="A48" s="13"/>
      <c r="B48" s="13"/>
      <c r="C48" s="20" t="s">
        <v>33</v>
      </c>
      <c r="D48" s="39">
        <f>D47*'Start Page'!$C$54</f>
        <v>49410.92</v>
      </c>
      <c r="E48" s="39">
        <f>E47*'Start Page'!$C$54</f>
        <v>51033.320000000007</v>
      </c>
      <c r="F48" s="39">
        <f>F47*'Start Page'!$C$54</f>
        <v>52690.559999999998</v>
      </c>
      <c r="G48" s="39">
        <f>G47*'Start Page'!$C$54</f>
        <v>54337.4</v>
      </c>
      <c r="H48" s="39">
        <f>H47*'Start Page'!$C$54</f>
        <v>55980.6</v>
      </c>
      <c r="I48" s="39">
        <f>I47*'Start Page'!$C$54</f>
        <v>57617.04</v>
      </c>
      <c r="J48" s="39">
        <f>J47*'Start Page'!$C$54</f>
        <v>59263.880000000005</v>
      </c>
      <c r="K48" s="39">
        <f>K47*'Start Page'!$C$54</f>
        <v>60921.119999999995</v>
      </c>
      <c r="L48" s="39">
        <f>L47*'Start Page'!$C$54</f>
        <v>62564.319999999992</v>
      </c>
      <c r="M48" s="39">
        <f>M47*'Start Page'!$C$54</f>
        <v>64221.560000000012</v>
      </c>
    </row>
    <row r="49" spans="1:13" s="42" customFormat="1" x14ac:dyDescent="0.2">
      <c r="A49" s="22"/>
      <c r="B49" s="22"/>
      <c r="C49" s="23" t="s">
        <v>166</v>
      </c>
      <c r="D49" s="40">
        <f>((D41*80)+(D43*($B$14-80)))*'Start Page'!$C$54</f>
        <v>47143.200000000004</v>
      </c>
      <c r="E49" s="40">
        <f>((E41*80)+(E43*($B$14-80)))*'Start Page'!$C$54</f>
        <v>48692.800000000003</v>
      </c>
      <c r="F49" s="40">
        <f>((F41*80)+(F43*($B$14-80)))*'Start Page'!$C$54</f>
        <v>50273.599999999999</v>
      </c>
      <c r="G49" s="40">
        <f>((G41*80)+(G43*($B$14-80)))*'Start Page'!$C$54</f>
        <v>51844</v>
      </c>
      <c r="H49" s="40">
        <f>((H41*80)+(H43*($B$14-80)))*'Start Page'!$C$54</f>
        <v>53414.399999999994</v>
      </c>
      <c r="I49" s="40">
        <f>((I41*80)+(I43*($B$14-80)))*'Start Page'!$C$54</f>
        <v>54974.400000000001</v>
      </c>
      <c r="J49" s="40">
        <f>((J41*80)+(J43*($B$14-80)))*'Start Page'!$C$54</f>
        <v>56544.800000000003</v>
      </c>
      <c r="K49" s="40">
        <f>((K41*80)+(K43*($B$14-80)))*'Start Page'!$C$54</f>
        <v>58125.599999999999</v>
      </c>
      <c r="L49" s="40">
        <f>((L41*80)+(L43*($B$14-80)))*'Start Page'!$C$54</f>
        <v>59696</v>
      </c>
      <c r="M49" s="41">
        <f>((M41*80)+(M43*($B$14-80)))*'Start Page'!$C$54</f>
        <v>61276.800000000003</v>
      </c>
    </row>
    <row r="50" spans="1:13" x14ac:dyDescent="0.2">
      <c r="A50" s="12" t="s">
        <v>0</v>
      </c>
      <c r="B50" s="12" t="s">
        <v>49</v>
      </c>
      <c r="C50" s="12" t="s">
        <v>1</v>
      </c>
      <c r="D50" s="12" t="s">
        <v>2</v>
      </c>
      <c r="E50" s="12" t="s">
        <v>3</v>
      </c>
      <c r="F50" s="12" t="s">
        <v>4</v>
      </c>
      <c r="G50" s="12" t="s">
        <v>5</v>
      </c>
      <c r="H50" s="12" t="s">
        <v>6</v>
      </c>
      <c r="I50" s="12" t="s">
        <v>7</v>
      </c>
      <c r="J50" s="12" t="s">
        <v>8</v>
      </c>
      <c r="K50" s="12" t="s">
        <v>9</v>
      </c>
      <c r="L50" s="12" t="s">
        <v>10</v>
      </c>
      <c r="M50" s="12" t="s">
        <v>11</v>
      </c>
    </row>
    <row r="51" spans="1:13" x14ac:dyDescent="0.2">
      <c r="A51" s="27"/>
      <c r="B51" s="27"/>
      <c r="C51" s="14" t="s">
        <v>30</v>
      </c>
      <c r="D51" s="37">
        <f>'GS Pay Scale'!B12</f>
        <v>38117</v>
      </c>
      <c r="E51" s="37">
        <f>'GS Pay Scale'!C12</f>
        <v>39388</v>
      </c>
      <c r="F51" s="37">
        <f>'GS Pay Scale'!D12</f>
        <v>40658</v>
      </c>
      <c r="G51" s="37">
        <f>'GS Pay Scale'!E12</f>
        <v>41929</v>
      </c>
      <c r="H51" s="37">
        <f>'GS Pay Scale'!F12</f>
        <v>43200</v>
      </c>
      <c r="I51" s="37">
        <f>'GS Pay Scale'!G12</f>
        <v>44470</v>
      </c>
      <c r="J51" s="37">
        <f>'GS Pay Scale'!H12</f>
        <v>45741</v>
      </c>
      <c r="K51" s="37">
        <f>'GS Pay Scale'!I12</f>
        <v>47012</v>
      </c>
      <c r="L51" s="37">
        <f>'GS Pay Scale'!J12</f>
        <v>48282</v>
      </c>
      <c r="M51" s="37">
        <f>'GS Pay Scale'!K12</f>
        <v>49553</v>
      </c>
    </row>
    <row r="52" spans="1:13" x14ac:dyDescent="0.2">
      <c r="A52" s="13"/>
      <c r="B52" s="13">
        <v>80</v>
      </c>
      <c r="C52" s="36" t="s">
        <v>52</v>
      </c>
      <c r="D52" s="37">
        <f t="shared" ref="D52:M52" si="28">D53*80</f>
        <v>1460.8000000000002</v>
      </c>
      <c r="E52" s="37">
        <f t="shared" si="28"/>
        <v>1509.6000000000001</v>
      </c>
      <c r="F52" s="37">
        <f t="shared" si="28"/>
        <v>1558.4</v>
      </c>
      <c r="G52" s="37">
        <f t="shared" si="28"/>
        <v>1607.2</v>
      </c>
      <c r="H52" s="37">
        <f t="shared" si="28"/>
        <v>1656</v>
      </c>
      <c r="I52" s="37">
        <f t="shared" si="28"/>
        <v>1704.8</v>
      </c>
      <c r="J52" s="37">
        <f t="shared" si="28"/>
        <v>1753.6000000000001</v>
      </c>
      <c r="K52" s="37">
        <f t="shared" si="28"/>
        <v>1802.4</v>
      </c>
      <c r="L52" s="37">
        <f t="shared" si="28"/>
        <v>1850.3999999999999</v>
      </c>
      <c r="M52" s="37">
        <f t="shared" si="28"/>
        <v>1899.1999999999998</v>
      </c>
    </row>
    <row r="53" spans="1:13" x14ac:dyDescent="0.2">
      <c r="A53" s="13"/>
      <c r="B53" s="13"/>
      <c r="C53" s="36" t="s">
        <v>20</v>
      </c>
      <c r="D53" s="38">
        <f>ROUND(D51/2087,2)</f>
        <v>18.260000000000002</v>
      </c>
      <c r="E53" s="38">
        <f t="shared" ref="E53:M53" si="29">ROUND(E51/2087,2)</f>
        <v>18.87</v>
      </c>
      <c r="F53" s="38">
        <f t="shared" si="29"/>
        <v>19.48</v>
      </c>
      <c r="G53" s="38">
        <f t="shared" si="29"/>
        <v>20.09</v>
      </c>
      <c r="H53" s="38">
        <f t="shared" si="29"/>
        <v>20.7</v>
      </c>
      <c r="I53" s="38">
        <f t="shared" si="29"/>
        <v>21.31</v>
      </c>
      <c r="J53" s="38">
        <f t="shared" si="29"/>
        <v>21.92</v>
      </c>
      <c r="K53" s="38">
        <f t="shared" si="29"/>
        <v>22.53</v>
      </c>
      <c r="L53" s="38">
        <f t="shared" si="29"/>
        <v>23.13</v>
      </c>
      <c r="M53" s="38">
        <f t="shared" si="29"/>
        <v>23.74</v>
      </c>
    </row>
    <row r="54" spans="1:13" x14ac:dyDescent="0.2">
      <c r="A54" s="13"/>
      <c r="B54" s="13">
        <v>26</v>
      </c>
      <c r="C54" s="16" t="s">
        <v>47</v>
      </c>
      <c r="D54" s="38">
        <f t="shared" ref="D54:M54" si="30">D55*26</f>
        <v>359.58</v>
      </c>
      <c r="E54" s="38">
        <f t="shared" si="30"/>
        <v>371.53999999999996</v>
      </c>
      <c r="F54" s="38">
        <f t="shared" si="30"/>
        <v>383.5</v>
      </c>
      <c r="G54" s="38">
        <f t="shared" si="30"/>
        <v>395.46000000000004</v>
      </c>
      <c r="H54" s="38">
        <f t="shared" si="30"/>
        <v>407.42</v>
      </c>
      <c r="I54" s="38">
        <f t="shared" si="30"/>
        <v>419.64</v>
      </c>
      <c r="J54" s="38">
        <f t="shared" si="30"/>
        <v>431.6</v>
      </c>
      <c r="K54" s="38">
        <f t="shared" si="30"/>
        <v>443.55999999999995</v>
      </c>
      <c r="L54" s="38">
        <f t="shared" si="30"/>
        <v>455.52</v>
      </c>
      <c r="M54" s="38">
        <f t="shared" si="30"/>
        <v>467.48</v>
      </c>
    </row>
    <row r="55" spans="1:13" x14ac:dyDescent="0.2">
      <c r="A55" s="13"/>
      <c r="B55" s="13"/>
      <c r="C55" s="16" t="s">
        <v>13</v>
      </c>
      <c r="D55" s="38">
        <f>ROUND(D51/2756,2)</f>
        <v>13.83</v>
      </c>
      <c r="E55" s="38">
        <f t="shared" ref="E55:M55" si="31">ROUND(E51/2756,2)</f>
        <v>14.29</v>
      </c>
      <c r="F55" s="38">
        <f t="shared" si="31"/>
        <v>14.75</v>
      </c>
      <c r="G55" s="38">
        <f t="shared" si="31"/>
        <v>15.21</v>
      </c>
      <c r="H55" s="38">
        <f t="shared" si="31"/>
        <v>15.67</v>
      </c>
      <c r="I55" s="38">
        <f t="shared" si="31"/>
        <v>16.14</v>
      </c>
      <c r="J55" s="38">
        <f t="shared" si="31"/>
        <v>16.600000000000001</v>
      </c>
      <c r="K55" s="38">
        <f t="shared" si="31"/>
        <v>17.059999999999999</v>
      </c>
      <c r="L55" s="38">
        <f t="shared" si="31"/>
        <v>17.52</v>
      </c>
      <c r="M55" s="38">
        <f t="shared" si="31"/>
        <v>17.98</v>
      </c>
    </row>
    <row r="56" spans="1:13" x14ac:dyDescent="0.2">
      <c r="A56" s="13" t="s">
        <v>12</v>
      </c>
      <c r="B56" s="19">
        <f>($G$3-53)*2</f>
        <v>14</v>
      </c>
      <c r="C56" s="16" t="s">
        <v>48</v>
      </c>
      <c r="D56" s="38">
        <f t="shared" ref="D56:M56" si="32">D57*$B$11</f>
        <v>290.5</v>
      </c>
      <c r="E56" s="38">
        <f t="shared" si="32"/>
        <v>300.16000000000003</v>
      </c>
      <c r="F56" s="38">
        <f t="shared" si="32"/>
        <v>309.82</v>
      </c>
      <c r="G56" s="38">
        <f t="shared" si="32"/>
        <v>319.48</v>
      </c>
      <c r="H56" s="38">
        <f t="shared" si="32"/>
        <v>329.14000000000004</v>
      </c>
      <c r="I56" s="38">
        <f t="shared" si="32"/>
        <v>338.94</v>
      </c>
      <c r="J56" s="38">
        <f t="shared" si="32"/>
        <v>348.59999999999997</v>
      </c>
      <c r="K56" s="38">
        <f t="shared" si="32"/>
        <v>358.26</v>
      </c>
      <c r="L56" s="38">
        <f t="shared" si="32"/>
        <v>367.92</v>
      </c>
      <c r="M56" s="38">
        <f t="shared" si="32"/>
        <v>377.58</v>
      </c>
    </row>
    <row r="57" spans="1:13" x14ac:dyDescent="0.2">
      <c r="A57" s="13"/>
      <c r="B57" s="13"/>
      <c r="C57" s="16" t="s">
        <v>14</v>
      </c>
      <c r="D57" s="17">
        <f>IF(ROUND(D55*1.5,2)&lt;$G$139,ROUND(D55*1.5,2),IF($G$139&lt;D55,D55,$G$139))</f>
        <v>20.75</v>
      </c>
      <c r="E57" s="17">
        <f t="shared" ref="E57:M57" si="33">IF(ROUND(E55*1.5,2)&lt;$G$139,ROUND(E55*1.5,2),IF($G$139&lt;E55,E55,$G$139))</f>
        <v>21.44</v>
      </c>
      <c r="F57" s="17">
        <f t="shared" si="33"/>
        <v>22.13</v>
      </c>
      <c r="G57" s="17">
        <f t="shared" si="33"/>
        <v>22.82</v>
      </c>
      <c r="H57" s="17">
        <f t="shared" si="33"/>
        <v>23.51</v>
      </c>
      <c r="I57" s="17">
        <f t="shared" si="33"/>
        <v>24.21</v>
      </c>
      <c r="J57" s="17">
        <f t="shared" si="33"/>
        <v>24.9</v>
      </c>
      <c r="K57" s="17">
        <f t="shared" si="33"/>
        <v>25.59</v>
      </c>
      <c r="L57" s="17">
        <f t="shared" si="33"/>
        <v>26.28</v>
      </c>
      <c r="M57" s="17">
        <f t="shared" si="33"/>
        <v>26.97</v>
      </c>
    </row>
    <row r="58" spans="1:13" s="75" customFormat="1" x14ac:dyDescent="0.2">
      <c r="A58" s="74"/>
      <c r="B58" s="74"/>
      <c r="C58" s="36" t="s">
        <v>73</v>
      </c>
      <c r="D58" s="17">
        <f>IF(VLOOKUP('Start Page'!$C$46,'Locality Rates'!$A$2:$C$49,3,FALSE)=1,(ROUND(D53*'Start Page'!$C$48,2)*80)+(ROUND(D55*'Start Page'!$C$48,2)*($B$14-80)),0)</f>
        <v>0</v>
      </c>
      <c r="E58" s="17">
        <f>IF(VLOOKUP('Start Page'!$C$46,'Locality Rates'!$A$2:$C$49,3,FALSE)=1,(ROUND(E53*'Start Page'!$C$48,2)*80)+(ROUND(E55*'Start Page'!$C$48,2)*($B$14-80)),0)</f>
        <v>0</v>
      </c>
      <c r="F58" s="17">
        <f>IF(VLOOKUP('Start Page'!$C$46,'Locality Rates'!$A$2:$C$49,3,FALSE)=1,(ROUND(F53*'Start Page'!$C$48,2)*80)+(ROUND(F55*'Start Page'!$C$48,2)*($B$14-80)),0)</f>
        <v>0</v>
      </c>
      <c r="G58" s="17">
        <f>IF(VLOOKUP('Start Page'!$C$46,'Locality Rates'!$A$2:$C$49,3,FALSE)=1,(ROUND(G53*'Start Page'!$C$48,2)*80)+(ROUND(G55*'Start Page'!$C$48,2)*($B$14-80)),0)</f>
        <v>0</v>
      </c>
      <c r="H58" s="17">
        <f>IF(VLOOKUP('Start Page'!$C$46,'Locality Rates'!$A$2:$C$49,3,FALSE)=1,(ROUND(H53*'Start Page'!$C$48,2)*80)+(ROUND(H55*'Start Page'!$C$48,2)*($B$14-80)),0)</f>
        <v>0</v>
      </c>
      <c r="I58" s="17">
        <f>IF(VLOOKUP('Start Page'!$C$46,'Locality Rates'!$A$2:$C$49,3,FALSE)=1,(ROUND(I53*'Start Page'!$C$48,2)*80)+(ROUND(I55*'Start Page'!$C$48,2)*($B$14-80)),0)</f>
        <v>0</v>
      </c>
      <c r="J58" s="17">
        <f>IF(VLOOKUP('Start Page'!$C$46,'Locality Rates'!$A$2:$C$49,3,FALSE)=1,(ROUND(J53*'Start Page'!$C$48,2)*80)+(ROUND(J55*'Start Page'!$C$48,2)*($B$14-80)),0)</f>
        <v>0</v>
      </c>
      <c r="K58" s="17">
        <f>IF(VLOOKUP('Start Page'!$C$46,'Locality Rates'!$A$2:$C$49,3,FALSE)=1,(ROUND(K53*'Start Page'!$C$48,2)*80)+(ROUND(K55*'Start Page'!$C$48,2)*($B$14-80)),0)</f>
        <v>0</v>
      </c>
      <c r="L58" s="17">
        <f>IF(VLOOKUP('Start Page'!$C$46,'Locality Rates'!$A$2:$C$49,3,FALSE)=1,(ROUND(L53*'Start Page'!$C$48,2)*80)+(ROUND(L55*'Start Page'!$C$48,2)*($B$14-80)),0)</f>
        <v>0</v>
      </c>
      <c r="M58" s="17">
        <f>IF(VLOOKUP('Start Page'!$C$46,'Locality Rates'!$A$2:$C$49,3,FALSE)=1,(ROUND(M53*'Start Page'!$C$48,2)*80)+(ROUND(M55*'Start Page'!$C$48,2)*($B$14-80)),0)</f>
        <v>0</v>
      </c>
    </row>
    <row r="59" spans="1:13" x14ac:dyDescent="0.2">
      <c r="A59" s="13"/>
      <c r="B59" s="13">
        <f>B52+B54+B56</f>
        <v>120</v>
      </c>
      <c r="C59" s="20" t="s">
        <v>17</v>
      </c>
      <c r="D59" s="39">
        <f t="shared" ref="D59:M59" si="34">D52+D54+D56+D58</f>
        <v>2110.88</v>
      </c>
      <c r="E59" s="39">
        <f t="shared" si="34"/>
        <v>2181.3000000000002</v>
      </c>
      <c r="F59" s="39">
        <f t="shared" si="34"/>
        <v>2251.7200000000003</v>
      </c>
      <c r="G59" s="39">
        <f t="shared" si="34"/>
        <v>2322.1400000000003</v>
      </c>
      <c r="H59" s="39">
        <f t="shared" si="34"/>
        <v>2392.56</v>
      </c>
      <c r="I59" s="39">
        <f t="shared" si="34"/>
        <v>2463.38</v>
      </c>
      <c r="J59" s="39">
        <f t="shared" si="34"/>
        <v>2533.8000000000002</v>
      </c>
      <c r="K59" s="39">
        <f t="shared" si="34"/>
        <v>2604.2200000000003</v>
      </c>
      <c r="L59" s="39">
        <f t="shared" si="34"/>
        <v>2673.84</v>
      </c>
      <c r="M59" s="39">
        <f t="shared" si="34"/>
        <v>2744.2599999999998</v>
      </c>
    </row>
    <row r="60" spans="1:13" x14ac:dyDescent="0.2">
      <c r="A60" s="13"/>
      <c r="B60" s="13"/>
      <c r="C60" s="20" t="s">
        <v>33</v>
      </c>
      <c r="D60" s="39">
        <f>D59*'Start Page'!$C$54</f>
        <v>54882.880000000005</v>
      </c>
      <c r="E60" s="39">
        <f>E59*'Start Page'!$C$54</f>
        <v>56713.8</v>
      </c>
      <c r="F60" s="39">
        <f>F59*'Start Page'!$C$54</f>
        <v>58544.720000000008</v>
      </c>
      <c r="G60" s="39">
        <f>G59*'Start Page'!$C$54</f>
        <v>60375.640000000007</v>
      </c>
      <c r="H60" s="39">
        <f>H59*'Start Page'!$C$54</f>
        <v>62206.559999999998</v>
      </c>
      <c r="I60" s="39">
        <f>I59*'Start Page'!$C$54</f>
        <v>64047.880000000005</v>
      </c>
      <c r="J60" s="39">
        <f>J59*'Start Page'!$C$54</f>
        <v>65878.8</v>
      </c>
      <c r="K60" s="39">
        <f>K59*'Start Page'!$C$54</f>
        <v>67709.72</v>
      </c>
      <c r="L60" s="39">
        <f>L59*'Start Page'!$C$54</f>
        <v>69519.839999999997</v>
      </c>
      <c r="M60" s="39">
        <f>M59*'Start Page'!$C$54</f>
        <v>71350.759999999995</v>
      </c>
    </row>
    <row r="61" spans="1:13" s="42" customFormat="1" x14ac:dyDescent="0.2">
      <c r="A61" s="22"/>
      <c r="B61" s="22"/>
      <c r="C61" s="23" t="s">
        <v>166</v>
      </c>
      <c r="D61" s="40">
        <f>((D53*80)+(D55*($B$14-80)))*'Start Page'!$C$54</f>
        <v>52364.000000000007</v>
      </c>
      <c r="E61" s="40">
        <f>((E53*80)+(E55*($B$14-80)))*'Start Page'!$C$54</f>
        <v>54111.199999999997</v>
      </c>
      <c r="F61" s="40">
        <f>((F53*80)+(F55*($B$14-80)))*'Start Page'!$C$54</f>
        <v>55858.400000000001</v>
      </c>
      <c r="G61" s="40">
        <f>((G53*80)+(G55*($B$14-80)))*'Start Page'!$C$54</f>
        <v>57605.600000000006</v>
      </c>
      <c r="H61" s="40">
        <f>((H53*80)+(H55*($B$14-80)))*'Start Page'!$C$54</f>
        <v>59352.800000000003</v>
      </c>
      <c r="I61" s="40">
        <f>((I53*80)+(I55*($B$14-80)))*'Start Page'!$C$54</f>
        <v>61110.400000000001</v>
      </c>
      <c r="J61" s="40">
        <f>((J53*80)+(J55*($B$14-80)))*'Start Page'!$C$54</f>
        <v>62857.600000000006</v>
      </c>
      <c r="K61" s="40">
        <f>((K53*80)+(K55*($B$14-80)))*'Start Page'!$C$54</f>
        <v>64604.800000000003</v>
      </c>
      <c r="L61" s="40">
        <f>((L53*80)+(L55*($B$14-80)))*'Start Page'!$C$54</f>
        <v>66331.199999999997</v>
      </c>
      <c r="M61" s="41">
        <f>((M53*80)+(M55*($B$14-80)))*'Start Page'!$C$54</f>
        <v>68078.399999999994</v>
      </c>
    </row>
    <row r="62" spans="1:13" x14ac:dyDescent="0.2">
      <c r="A62" s="27"/>
      <c r="B62" s="27"/>
      <c r="C62" s="14" t="s">
        <v>30</v>
      </c>
      <c r="D62" s="34">
        <f>'GS Pay Scale'!B13</f>
        <v>42214</v>
      </c>
      <c r="E62" s="34">
        <f>'GS Pay Scale'!C13</f>
        <v>43621</v>
      </c>
      <c r="F62" s="34">
        <f>'GS Pay Scale'!D13</f>
        <v>45028</v>
      </c>
      <c r="G62" s="34">
        <f>'GS Pay Scale'!E13</f>
        <v>46436</v>
      </c>
      <c r="H62" s="34">
        <f>'GS Pay Scale'!F13</f>
        <v>47843</v>
      </c>
      <c r="I62" s="34">
        <f>'GS Pay Scale'!G13</f>
        <v>49250</v>
      </c>
      <c r="J62" s="34">
        <f>'GS Pay Scale'!H13</f>
        <v>50657</v>
      </c>
      <c r="K62" s="34">
        <f>'GS Pay Scale'!I13</f>
        <v>52065</v>
      </c>
      <c r="L62" s="34">
        <f>'GS Pay Scale'!J13</f>
        <v>53472</v>
      </c>
      <c r="M62" s="34">
        <f>'GS Pay Scale'!K13</f>
        <v>54879</v>
      </c>
    </row>
    <row r="63" spans="1:13" x14ac:dyDescent="0.2">
      <c r="A63" s="13"/>
      <c r="B63" s="13">
        <v>80</v>
      </c>
      <c r="C63" s="36" t="s">
        <v>52</v>
      </c>
      <c r="D63" s="37">
        <f t="shared" ref="D63:M63" si="35">D64*80</f>
        <v>1618.4</v>
      </c>
      <c r="E63" s="37">
        <f t="shared" si="35"/>
        <v>1672</v>
      </c>
      <c r="F63" s="37">
        <f t="shared" si="35"/>
        <v>1726.3999999999999</v>
      </c>
      <c r="G63" s="37">
        <f t="shared" si="35"/>
        <v>1780</v>
      </c>
      <c r="H63" s="37">
        <f t="shared" si="35"/>
        <v>1833.6000000000001</v>
      </c>
      <c r="I63" s="37">
        <f t="shared" si="35"/>
        <v>1888</v>
      </c>
      <c r="J63" s="37">
        <f t="shared" si="35"/>
        <v>1941.6</v>
      </c>
      <c r="K63" s="37">
        <f t="shared" si="35"/>
        <v>1996</v>
      </c>
      <c r="L63" s="37">
        <f t="shared" si="35"/>
        <v>2049.6</v>
      </c>
      <c r="M63" s="37">
        <f t="shared" si="35"/>
        <v>2104</v>
      </c>
    </row>
    <row r="64" spans="1:13" x14ac:dyDescent="0.2">
      <c r="A64" s="13"/>
      <c r="B64" s="13"/>
      <c r="C64" s="36" t="s">
        <v>20</v>
      </c>
      <c r="D64" s="38">
        <f>ROUND(D62/2087,2)</f>
        <v>20.23</v>
      </c>
      <c r="E64" s="38">
        <f t="shared" ref="E64:M64" si="36">ROUND(E62/2087,2)</f>
        <v>20.9</v>
      </c>
      <c r="F64" s="38">
        <f t="shared" si="36"/>
        <v>21.58</v>
      </c>
      <c r="G64" s="38">
        <f t="shared" si="36"/>
        <v>22.25</v>
      </c>
      <c r="H64" s="38">
        <f t="shared" si="36"/>
        <v>22.92</v>
      </c>
      <c r="I64" s="38">
        <f t="shared" si="36"/>
        <v>23.6</v>
      </c>
      <c r="J64" s="38">
        <f t="shared" si="36"/>
        <v>24.27</v>
      </c>
      <c r="K64" s="38">
        <f t="shared" si="36"/>
        <v>24.95</v>
      </c>
      <c r="L64" s="38">
        <f t="shared" si="36"/>
        <v>25.62</v>
      </c>
      <c r="M64" s="38">
        <f t="shared" si="36"/>
        <v>26.3</v>
      </c>
    </row>
    <row r="65" spans="1:13" x14ac:dyDescent="0.2">
      <c r="A65" s="13"/>
      <c r="B65" s="13">
        <v>26</v>
      </c>
      <c r="C65" s="16" t="s">
        <v>47</v>
      </c>
      <c r="D65" s="38">
        <f t="shared" ref="D65:M65" si="37">D66*26</f>
        <v>398.32</v>
      </c>
      <c r="E65" s="38">
        <f t="shared" si="37"/>
        <v>411.58</v>
      </c>
      <c r="F65" s="38">
        <f t="shared" si="37"/>
        <v>424.84</v>
      </c>
      <c r="G65" s="38">
        <f t="shared" si="37"/>
        <v>438.1</v>
      </c>
      <c r="H65" s="38">
        <f t="shared" si="37"/>
        <v>451.36</v>
      </c>
      <c r="I65" s="38">
        <f t="shared" si="37"/>
        <v>464.62</v>
      </c>
      <c r="J65" s="38">
        <f t="shared" si="37"/>
        <v>477.88</v>
      </c>
      <c r="K65" s="38">
        <f t="shared" si="37"/>
        <v>491.14</v>
      </c>
      <c r="L65" s="38">
        <f t="shared" si="37"/>
        <v>504.4</v>
      </c>
      <c r="M65" s="38">
        <f t="shared" si="37"/>
        <v>517.66</v>
      </c>
    </row>
    <row r="66" spans="1:13" x14ac:dyDescent="0.2">
      <c r="A66" s="13"/>
      <c r="B66" s="13"/>
      <c r="C66" s="16" t="s">
        <v>13</v>
      </c>
      <c r="D66" s="38">
        <f>ROUND(D62/2756,2)</f>
        <v>15.32</v>
      </c>
      <c r="E66" s="38">
        <f t="shared" ref="E66:M66" si="38">ROUND(E62/2756,2)</f>
        <v>15.83</v>
      </c>
      <c r="F66" s="38">
        <f t="shared" si="38"/>
        <v>16.34</v>
      </c>
      <c r="G66" s="38">
        <f t="shared" si="38"/>
        <v>16.850000000000001</v>
      </c>
      <c r="H66" s="38">
        <f t="shared" si="38"/>
        <v>17.36</v>
      </c>
      <c r="I66" s="38">
        <f t="shared" si="38"/>
        <v>17.87</v>
      </c>
      <c r="J66" s="38">
        <f t="shared" si="38"/>
        <v>18.38</v>
      </c>
      <c r="K66" s="38">
        <f t="shared" si="38"/>
        <v>18.89</v>
      </c>
      <c r="L66" s="38">
        <f t="shared" si="38"/>
        <v>19.399999999999999</v>
      </c>
      <c r="M66" s="38">
        <f t="shared" si="38"/>
        <v>19.91</v>
      </c>
    </row>
    <row r="67" spans="1:13" x14ac:dyDescent="0.2">
      <c r="A67" s="13" t="s">
        <v>15</v>
      </c>
      <c r="B67" s="19">
        <f>($G$3-53)*2</f>
        <v>14</v>
      </c>
      <c r="C67" s="16" t="s">
        <v>48</v>
      </c>
      <c r="D67" s="38">
        <f t="shared" ref="D67:M67" si="39">D68*$B$11</f>
        <v>321.72000000000003</v>
      </c>
      <c r="E67" s="38">
        <f t="shared" si="39"/>
        <v>332.5</v>
      </c>
      <c r="F67" s="38">
        <f t="shared" si="39"/>
        <v>343.14000000000004</v>
      </c>
      <c r="G67" s="38">
        <f t="shared" si="39"/>
        <v>353.92</v>
      </c>
      <c r="H67" s="38">
        <f t="shared" si="39"/>
        <v>364.56</v>
      </c>
      <c r="I67" s="38">
        <f t="shared" si="39"/>
        <v>375.34</v>
      </c>
      <c r="J67" s="38">
        <f t="shared" si="39"/>
        <v>385.98</v>
      </c>
      <c r="K67" s="38">
        <f t="shared" si="39"/>
        <v>396.76</v>
      </c>
      <c r="L67" s="38">
        <f t="shared" si="39"/>
        <v>407.40000000000003</v>
      </c>
      <c r="M67" s="38">
        <f t="shared" si="39"/>
        <v>418.18</v>
      </c>
    </row>
    <row r="68" spans="1:13" x14ac:dyDescent="0.2">
      <c r="A68" s="13"/>
      <c r="B68" s="13"/>
      <c r="C68" s="16" t="s">
        <v>14</v>
      </c>
      <c r="D68" s="17">
        <f>IF(ROUND(D66*1.5,2)&lt;$G$139,ROUND(D66*1.5,2),IF($G$139&lt;D66,D66,$G$139))</f>
        <v>22.98</v>
      </c>
      <c r="E68" s="17">
        <f t="shared" ref="E68:M68" si="40">IF(ROUND(E66*1.5,2)&lt;$G$139,ROUND(E66*1.5,2),IF($G$139&lt;E66,E66,$G$139))</f>
        <v>23.75</v>
      </c>
      <c r="F68" s="17">
        <f t="shared" si="40"/>
        <v>24.51</v>
      </c>
      <c r="G68" s="17">
        <f t="shared" si="40"/>
        <v>25.28</v>
      </c>
      <c r="H68" s="17">
        <f t="shared" si="40"/>
        <v>26.04</v>
      </c>
      <c r="I68" s="17">
        <f t="shared" si="40"/>
        <v>26.81</v>
      </c>
      <c r="J68" s="17">
        <f t="shared" si="40"/>
        <v>27.57</v>
      </c>
      <c r="K68" s="17">
        <f t="shared" si="40"/>
        <v>28.34</v>
      </c>
      <c r="L68" s="17">
        <f t="shared" si="40"/>
        <v>29.1</v>
      </c>
      <c r="M68" s="17">
        <f t="shared" si="40"/>
        <v>29.87</v>
      </c>
    </row>
    <row r="69" spans="1:13" s="75" customFormat="1" x14ac:dyDescent="0.2">
      <c r="A69" s="74"/>
      <c r="B69" s="74"/>
      <c r="C69" s="36" t="s">
        <v>73</v>
      </c>
      <c r="D69" s="17">
        <f>IF(VLOOKUP('Start Page'!$C$46,'Locality Rates'!$A$2:$C$49,3,FALSE)=1,(ROUND(D64*'Start Page'!$C$48,2)*80)+(ROUND(D66*'Start Page'!$C$48,2)*($B$14-80)),0)</f>
        <v>0</v>
      </c>
      <c r="E69" s="17">
        <f>IF(VLOOKUP('Start Page'!$C$46,'Locality Rates'!$A$2:$C$49,3,FALSE)=1,(ROUND(E64*'Start Page'!$C$48,2)*80)+(ROUND(E66*'Start Page'!$C$48,2)*($B$14-80)),0)</f>
        <v>0</v>
      </c>
      <c r="F69" s="17">
        <f>IF(VLOOKUP('Start Page'!$C$46,'Locality Rates'!$A$2:$C$49,3,FALSE)=1,(ROUND(F64*'Start Page'!$C$48,2)*80)+(ROUND(F66*'Start Page'!$C$48,2)*($B$14-80)),0)</f>
        <v>0</v>
      </c>
      <c r="G69" s="17">
        <f>IF(VLOOKUP('Start Page'!$C$46,'Locality Rates'!$A$2:$C$49,3,FALSE)=1,(ROUND(G64*'Start Page'!$C$48,2)*80)+(ROUND(G66*'Start Page'!$C$48,2)*($B$14-80)),0)</f>
        <v>0</v>
      </c>
      <c r="H69" s="17">
        <f>IF(VLOOKUP('Start Page'!$C$46,'Locality Rates'!$A$2:$C$49,3,FALSE)=1,(ROUND(H64*'Start Page'!$C$48,2)*80)+(ROUND(H66*'Start Page'!$C$48,2)*($B$14-80)),0)</f>
        <v>0</v>
      </c>
      <c r="I69" s="17">
        <f>IF(VLOOKUP('Start Page'!$C$46,'Locality Rates'!$A$2:$C$49,3,FALSE)=1,(ROUND(I64*'Start Page'!$C$48,2)*80)+(ROUND(I66*'Start Page'!$C$48,2)*($B$14-80)),0)</f>
        <v>0</v>
      </c>
      <c r="J69" s="17">
        <f>IF(VLOOKUP('Start Page'!$C$46,'Locality Rates'!$A$2:$C$49,3,FALSE)=1,(ROUND(J64*'Start Page'!$C$48,2)*80)+(ROUND(J66*'Start Page'!$C$48,2)*($B$14-80)),0)</f>
        <v>0</v>
      </c>
      <c r="K69" s="17">
        <f>IF(VLOOKUP('Start Page'!$C$46,'Locality Rates'!$A$2:$C$49,3,FALSE)=1,(ROUND(K64*'Start Page'!$C$48,2)*80)+(ROUND(K66*'Start Page'!$C$48,2)*($B$14-80)),0)</f>
        <v>0</v>
      </c>
      <c r="L69" s="17">
        <f>IF(VLOOKUP('Start Page'!$C$46,'Locality Rates'!$A$2:$C$49,3,FALSE)=1,(ROUND(L64*'Start Page'!$C$48,2)*80)+(ROUND(L66*'Start Page'!$C$48,2)*($B$14-80)),0)</f>
        <v>0</v>
      </c>
      <c r="M69" s="17">
        <f>IF(VLOOKUP('Start Page'!$C$46,'Locality Rates'!$A$2:$C$49,3,FALSE)=1,(ROUND(M64*'Start Page'!$C$48,2)*80)+(ROUND(M66*'Start Page'!$C$48,2)*($B$14-80)),0)</f>
        <v>0</v>
      </c>
    </row>
    <row r="70" spans="1:13" x14ac:dyDescent="0.2">
      <c r="A70" s="13"/>
      <c r="B70" s="13">
        <f>B63+B65+B67</f>
        <v>120</v>
      </c>
      <c r="C70" s="20" t="s">
        <v>17</v>
      </c>
      <c r="D70" s="39">
        <f t="shared" ref="D70:M70" si="41">D63+D65+D67+D69</f>
        <v>2338.44</v>
      </c>
      <c r="E70" s="39">
        <f t="shared" si="41"/>
        <v>2416.08</v>
      </c>
      <c r="F70" s="39">
        <f t="shared" si="41"/>
        <v>2494.3799999999997</v>
      </c>
      <c r="G70" s="39">
        <f t="shared" si="41"/>
        <v>2572.02</v>
      </c>
      <c r="H70" s="39">
        <f t="shared" si="41"/>
        <v>2649.52</v>
      </c>
      <c r="I70" s="39">
        <f t="shared" si="41"/>
        <v>2727.96</v>
      </c>
      <c r="J70" s="39">
        <f t="shared" si="41"/>
        <v>2805.46</v>
      </c>
      <c r="K70" s="39">
        <f t="shared" si="41"/>
        <v>2883.8999999999996</v>
      </c>
      <c r="L70" s="39">
        <f t="shared" si="41"/>
        <v>2961.4</v>
      </c>
      <c r="M70" s="39">
        <f t="shared" si="41"/>
        <v>3039.8399999999997</v>
      </c>
    </row>
    <row r="71" spans="1:13" x14ac:dyDescent="0.2">
      <c r="A71" s="13"/>
      <c r="B71" s="13"/>
      <c r="C71" s="20" t="s">
        <v>33</v>
      </c>
      <c r="D71" s="39">
        <f>D70*'Start Page'!$C$54</f>
        <v>60799.44</v>
      </c>
      <c r="E71" s="39">
        <f>E70*'Start Page'!$C$54</f>
        <v>62818.080000000002</v>
      </c>
      <c r="F71" s="39">
        <f>F70*'Start Page'!$C$54</f>
        <v>64853.87999999999</v>
      </c>
      <c r="G71" s="39">
        <f>G70*'Start Page'!$C$54</f>
        <v>66872.52</v>
      </c>
      <c r="H71" s="39">
        <f>H70*'Start Page'!$C$54</f>
        <v>68887.520000000004</v>
      </c>
      <c r="I71" s="39">
        <f>I70*'Start Page'!$C$54</f>
        <v>70926.960000000006</v>
      </c>
      <c r="J71" s="39">
        <f>J70*'Start Page'!$C$54</f>
        <v>72941.960000000006</v>
      </c>
      <c r="K71" s="39">
        <f>K70*'Start Page'!$C$54</f>
        <v>74981.399999999994</v>
      </c>
      <c r="L71" s="39">
        <f>L70*'Start Page'!$C$54</f>
        <v>76996.400000000009</v>
      </c>
      <c r="M71" s="39">
        <f>M70*'Start Page'!$C$54</f>
        <v>79035.839999999997</v>
      </c>
    </row>
    <row r="72" spans="1:13" s="42" customFormat="1" x14ac:dyDescent="0.2">
      <c r="A72" s="22"/>
      <c r="B72" s="22"/>
      <c r="C72" s="23" t="s">
        <v>166</v>
      </c>
      <c r="D72" s="40">
        <f>((D64*80)+(D66*($B$14-80)))*'Start Page'!$C$54</f>
        <v>58011.199999999997</v>
      </c>
      <c r="E72" s="40">
        <f>((E64*80)+(E66*($B$14-80)))*'Start Page'!$C$54</f>
        <v>59935.199999999997</v>
      </c>
      <c r="F72" s="40">
        <f>((F64*80)+(F66*($B$14-80)))*'Start Page'!$C$54</f>
        <v>61880</v>
      </c>
      <c r="G72" s="40">
        <f>((G64*80)+(G66*($B$14-80)))*'Start Page'!$C$54</f>
        <v>63804</v>
      </c>
      <c r="H72" s="40">
        <f>((H64*80)+(H66*($B$14-80)))*'Start Page'!$C$54</f>
        <v>65728</v>
      </c>
      <c r="I72" s="40">
        <f>((I64*80)+(I66*($B$14-80)))*'Start Page'!$C$54</f>
        <v>67672.800000000003</v>
      </c>
      <c r="J72" s="40">
        <f>((J64*80)+(J66*($B$14-80)))*'Start Page'!$C$54</f>
        <v>69596.799999999988</v>
      </c>
      <c r="K72" s="40">
        <f>((K64*80)+(K66*($B$14-80)))*'Start Page'!$C$54</f>
        <v>71541.599999999991</v>
      </c>
      <c r="L72" s="40">
        <f>((L64*80)+(L66*($B$14-80)))*'Start Page'!$C$54</f>
        <v>73465.599999999991</v>
      </c>
      <c r="M72" s="41">
        <f>((M64*80)+(M66*($B$14-80)))*'Start Page'!$C$54</f>
        <v>75410.400000000009</v>
      </c>
    </row>
    <row r="73" spans="1:13" x14ac:dyDescent="0.2">
      <c r="A73" s="27"/>
      <c r="B73" s="27"/>
      <c r="C73" s="14" t="s">
        <v>30</v>
      </c>
      <c r="D73" s="37">
        <f>'GS Pay Scale'!B14</f>
        <v>46625</v>
      </c>
      <c r="E73" s="37">
        <f>'GS Pay Scale'!C14</f>
        <v>48179</v>
      </c>
      <c r="F73" s="37">
        <f>'GS Pay Scale'!D14</f>
        <v>49733</v>
      </c>
      <c r="G73" s="37">
        <f>'GS Pay Scale'!E14</f>
        <v>51287</v>
      </c>
      <c r="H73" s="37">
        <f>'GS Pay Scale'!F14</f>
        <v>52841</v>
      </c>
      <c r="I73" s="37">
        <f>'GS Pay Scale'!G14</f>
        <v>54395</v>
      </c>
      <c r="J73" s="37">
        <f>'GS Pay Scale'!H14</f>
        <v>55950</v>
      </c>
      <c r="K73" s="37">
        <f>'GS Pay Scale'!I14</f>
        <v>57504</v>
      </c>
      <c r="L73" s="37">
        <f>'GS Pay Scale'!J14</f>
        <v>59058</v>
      </c>
      <c r="M73" s="37">
        <f>'GS Pay Scale'!K14</f>
        <v>60612</v>
      </c>
    </row>
    <row r="74" spans="1:13" x14ac:dyDescent="0.2">
      <c r="A74" s="13"/>
      <c r="B74" s="13">
        <v>80</v>
      </c>
      <c r="C74" s="36" t="s">
        <v>52</v>
      </c>
      <c r="D74" s="37">
        <f t="shared" ref="D74:M74" si="42">D75*80</f>
        <v>1787.2</v>
      </c>
      <c r="E74" s="37">
        <f t="shared" si="42"/>
        <v>1847.2</v>
      </c>
      <c r="F74" s="37">
        <f t="shared" si="42"/>
        <v>1906.3999999999999</v>
      </c>
      <c r="G74" s="37">
        <f t="shared" si="42"/>
        <v>1965.6</v>
      </c>
      <c r="H74" s="37">
        <f t="shared" si="42"/>
        <v>2025.6</v>
      </c>
      <c r="I74" s="37">
        <f t="shared" si="42"/>
        <v>2084.7999999999997</v>
      </c>
      <c r="J74" s="37">
        <f t="shared" si="42"/>
        <v>2144.7999999999997</v>
      </c>
      <c r="K74" s="37">
        <f t="shared" si="42"/>
        <v>2204</v>
      </c>
      <c r="L74" s="37">
        <f t="shared" si="42"/>
        <v>2264</v>
      </c>
      <c r="M74" s="37">
        <f t="shared" si="42"/>
        <v>2323.1999999999998</v>
      </c>
    </row>
    <row r="75" spans="1:13" x14ac:dyDescent="0.2">
      <c r="A75" s="13"/>
      <c r="B75" s="13"/>
      <c r="C75" s="36" t="s">
        <v>20</v>
      </c>
      <c r="D75" s="38">
        <f>ROUND(D73/2087,2)</f>
        <v>22.34</v>
      </c>
      <c r="E75" s="38">
        <f t="shared" ref="E75:M75" si="43">ROUND(E73/2087,2)</f>
        <v>23.09</v>
      </c>
      <c r="F75" s="38">
        <f t="shared" si="43"/>
        <v>23.83</v>
      </c>
      <c r="G75" s="38">
        <f t="shared" si="43"/>
        <v>24.57</v>
      </c>
      <c r="H75" s="38">
        <f t="shared" si="43"/>
        <v>25.32</v>
      </c>
      <c r="I75" s="38">
        <f t="shared" si="43"/>
        <v>26.06</v>
      </c>
      <c r="J75" s="38">
        <f t="shared" si="43"/>
        <v>26.81</v>
      </c>
      <c r="K75" s="38">
        <f t="shared" si="43"/>
        <v>27.55</v>
      </c>
      <c r="L75" s="38">
        <f t="shared" si="43"/>
        <v>28.3</v>
      </c>
      <c r="M75" s="38">
        <f t="shared" si="43"/>
        <v>29.04</v>
      </c>
    </row>
    <row r="76" spans="1:13" x14ac:dyDescent="0.2">
      <c r="A76" s="13"/>
      <c r="B76" s="13">
        <v>26</v>
      </c>
      <c r="C76" s="16" t="s">
        <v>47</v>
      </c>
      <c r="D76" s="38">
        <f t="shared" ref="D76:M76" si="44">D77*26</f>
        <v>439.92000000000007</v>
      </c>
      <c r="E76" s="38">
        <f t="shared" si="44"/>
        <v>454.48</v>
      </c>
      <c r="F76" s="38">
        <f t="shared" si="44"/>
        <v>469.3</v>
      </c>
      <c r="G76" s="38">
        <f t="shared" si="44"/>
        <v>483.86</v>
      </c>
      <c r="H76" s="38">
        <f t="shared" si="44"/>
        <v>498.42000000000007</v>
      </c>
      <c r="I76" s="38">
        <f t="shared" si="44"/>
        <v>513.24</v>
      </c>
      <c r="J76" s="38">
        <f t="shared" si="44"/>
        <v>527.80000000000007</v>
      </c>
      <c r="K76" s="38">
        <f t="shared" si="44"/>
        <v>542.62</v>
      </c>
      <c r="L76" s="38">
        <f t="shared" si="44"/>
        <v>557.17999999999995</v>
      </c>
      <c r="M76" s="38">
        <f t="shared" si="44"/>
        <v>571.74</v>
      </c>
    </row>
    <row r="77" spans="1:13" x14ac:dyDescent="0.2">
      <c r="A77" s="13"/>
      <c r="B77" s="13"/>
      <c r="C77" s="16" t="s">
        <v>13</v>
      </c>
      <c r="D77" s="38">
        <f>ROUND(D73/2756,2)</f>
        <v>16.920000000000002</v>
      </c>
      <c r="E77" s="38">
        <f t="shared" ref="E77:M77" si="45">ROUND(E73/2756,2)</f>
        <v>17.48</v>
      </c>
      <c r="F77" s="38">
        <f t="shared" si="45"/>
        <v>18.05</v>
      </c>
      <c r="G77" s="38">
        <f t="shared" si="45"/>
        <v>18.61</v>
      </c>
      <c r="H77" s="38">
        <f t="shared" si="45"/>
        <v>19.170000000000002</v>
      </c>
      <c r="I77" s="38">
        <f t="shared" si="45"/>
        <v>19.739999999999998</v>
      </c>
      <c r="J77" s="38">
        <f t="shared" si="45"/>
        <v>20.3</v>
      </c>
      <c r="K77" s="38">
        <f t="shared" si="45"/>
        <v>20.87</v>
      </c>
      <c r="L77" s="38">
        <f t="shared" si="45"/>
        <v>21.43</v>
      </c>
      <c r="M77" s="38">
        <f t="shared" si="45"/>
        <v>21.99</v>
      </c>
    </row>
    <row r="78" spans="1:13" x14ac:dyDescent="0.2">
      <c r="A78" s="13" t="s">
        <v>21</v>
      </c>
      <c r="B78" s="19">
        <f>($G$3-53)*2</f>
        <v>14</v>
      </c>
      <c r="C78" s="16" t="s">
        <v>48</v>
      </c>
      <c r="D78" s="38">
        <f t="shared" ref="D78:M78" si="46">D79*$B$11</f>
        <v>355.32</v>
      </c>
      <c r="E78" s="38">
        <f t="shared" si="46"/>
        <v>367.08</v>
      </c>
      <c r="F78" s="38">
        <f t="shared" si="46"/>
        <v>379.12</v>
      </c>
      <c r="G78" s="38">
        <f t="shared" si="46"/>
        <v>390.88</v>
      </c>
      <c r="H78" s="38">
        <f t="shared" si="46"/>
        <v>402.64000000000004</v>
      </c>
      <c r="I78" s="38">
        <f t="shared" si="46"/>
        <v>414.53999999999996</v>
      </c>
      <c r="J78" s="38">
        <f t="shared" si="46"/>
        <v>426.3</v>
      </c>
      <c r="K78" s="38">
        <f t="shared" si="46"/>
        <v>438.34</v>
      </c>
      <c r="L78" s="38">
        <f t="shared" si="46"/>
        <v>450.09999999999997</v>
      </c>
      <c r="M78" s="38">
        <f t="shared" si="46"/>
        <v>461.86</v>
      </c>
    </row>
    <row r="79" spans="1:13" x14ac:dyDescent="0.2">
      <c r="A79" s="13"/>
      <c r="B79" s="13"/>
      <c r="C79" s="16" t="s">
        <v>14</v>
      </c>
      <c r="D79" s="17">
        <f>IF(ROUND(D77*1.5,2)&lt;$G$139,ROUND(D77*1.5,2),IF($G$139&lt;D77,D77,$G$139))</f>
        <v>25.38</v>
      </c>
      <c r="E79" s="17">
        <f t="shared" ref="E79:M79" si="47">IF(ROUND(E77*1.5,2)&lt;$G$139,ROUND(E77*1.5,2),IF($G$139&lt;E77,E77,$G$139))</f>
        <v>26.22</v>
      </c>
      <c r="F79" s="17">
        <f t="shared" si="47"/>
        <v>27.08</v>
      </c>
      <c r="G79" s="17">
        <f t="shared" si="47"/>
        <v>27.92</v>
      </c>
      <c r="H79" s="17">
        <f t="shared" si="47"/>
        <v>28.76</v>
      </c>
      <c r="I79" s="17">
        <f t="shared" si="47"/>
        <v>29.61</v>
      </c>
      <c r="J79" s="17">
        <f t="shared" si="47"/>
        <v>30.45</v>
      </c>
      <c r="K79" s="17">
        <f t="shared" si="47"/>
        <v>31.31</v>
      </c>
      <c r="L79" s="17">
        <f t="shared" si="47"/>
        <v>32.15</v>
      </c>
      <c r="M79" s="17">
        <f t="shared" si="47"/>
        <v>32.99</v>
      </c>
    </row>
    <row r="80" spans="1:13" s="75" customFormat="1" x14ac:dyDescent="0.2">
      <c r="A80" s="74"/>
      <c r="B80" s="74"/>
      <c r="C80" s="36" t="s">
        <v>73</v>
      </c>
      <c r="D80" s="17">
        <f>IF(VLOOKUP('Start Page'!$C$46,'Locality Rates'!$A$2:$C$49,3,FALSE)=1,(ROUND(D75*'Start Page'!$C$48,2)*80)+(ROUND(D77*'Start Page'!$C$48,2)*($B$14-80)),0)</f>
        <v>0</v>
      </c>
      <c r="E80" s="17">
        <f>IF(VLOOKUP('Start Page'!$C$46,'Locality Rates'!$A$2:$C$49,3,FALSE)=1,(ROUND(E75*'Start Page'!$C$48,2)*80)+(ROUND(E77*'Start Page'!$C$48,2)*($B$14-80)),0)</f>
        <v>0</v>
      </c>
      <c r="F80" s="17">
        <f>IF(VLOOKUP('Start Page'!$C$46,'Locality Rates'!$A$2:$C$49,3,FALSE)=1,(ROUND(F75*'Start Page'!$C$48,2)*80)+(ROUND(F77*'Start Page'!$C$48,2)*($B$14-80)),0)</f>
        <v>0</v>
      </c>
      <c r="G80" s="17">
        <f>IF(VLOOKUP('Start Page'!$C$46,'Locality Rates'!$A$2:$C$49,3,FALSE)=1,(ROUND(G75*'Start Page'!$C$48,2)*80)+(ROUND(G77*'Start Page'!$C$48,2)*($B$14-80)),0)</f>
        <v>0</v>
      </c>
      <c r="H80" s="17">
        <f>IF(VLOOKUP('Start Page'!$C$46,'Locality Rates'!$A$2:$C$49,3,FALSE)=1,(ROUND(H75*'Start Page'!$C$48,2)*80)+(ROUND(H77*'Start Page'!$C$48,2)*($B$14-80)),0)</f>
        <v>0</v>
      </c>
      <c r="I80" s="17">
        <f>IF(VLOOKUP('Start Page'!$C$46,'Locality Rates'!$A$2:$C$49,3,FALSE)=1,(ROUND(I75*'Start Page'!$C$48,2)*80)+(ROUND(I77*'Start Page'!$C$48,2)*($B$14-80)),0)</f>
        <v>0</v>
      </c>
      <c r="J80" s="17">
        <f>IF(VLOOKUP('Start Page'!$C$46,'Locality Rates'!$A$2:$C$49,3,FALSE)=1,(ROUND(J75*'Start Page'!$C$48,2)*80)+(ROUND(J77*'Start Page'!$C$48,2)*($B$14-80)),0)</f>
        <v>0</v>
      </c>
      <c r="K80" s="17">
        <f>IF(VLOOKUP('Start Page'!$C$46,'Locality Rates'!$A$2:$C$49,3,FALSE)=1,(ROUND(K75*'Start Page'!$C$48,2)*80)+(ROUND(K77*'Start Page'!$C$48,2)*($B$14-80)),0)</f>
        <v>0</v>
      </c>
      <c r="L80" s="17">
        <f>IF(VLOOKUP('Start Page'!$C$46,'Locality Rates'!$A$2:$C$49,3,FALSE)=1,(ROUND(L75*'Start Page'!$C$48,2)*80)+(ROUND(L77*'Start Page'!$C$48,2)*($B$14-80)),0)</f>
        <v>0</v>
      </c>
      <c r="M80" s="17">
        <f>IF(VLOOKUP('Start Page'!$C$46,'Locality Rates'!$A$2:$C$49,3,FALSE)=1,(ROUND(M75*'Start Page'!$C$48,2)*80)+(ROUND(M77*'Start Page'!$C$48,2)*($B$14-80)),0)</f>
        <v>0</v>
      </c>
    </row>
    <row r="81" spans="1:13" x14ac:dyDescent="0.2">
      <c r="A81" s="13"/>
      <c r="B81" s="13">
        <f>B74+B76+B78</f>
        <v>120</v>
      </c>
      <c r="C81" s="20" t="s">
        <v>17</v>
      </c>
      <c r="D81" s="39">
        <f t="shared" ref="D81:M81" si="48">D74+D76+D78+D80</f>
        <v>2582.44</v>
      </c>
      <c r="E81" s="39">
        <f t="shared" si="48"/>
        <v>2668.76</v>
      </c>
      <c r="F81" s="39">
        <f t="shared" si="48"/>
        <v>2754.8199999999997</v>
      </c>
      <c r="G81" s="39">
        <f t="shared" si="48"/>
        <v>2840.34</v>
      </c>
      <c r="H81" s="39">
        <f t="shared" si="48"/>
        <v>2926.66</v>
      </c>
      <c r="I81" s="39">
        <f t="shared" si="48"/>
        <v>3012.58</v>
      </c>
      <c r="J81" s="39">
        <f t="shared" si="48"/>
        <v>3098.9</v>
      </c>
      <c r="K81" s="39">
        <f t="shared" si="48"/>
        <v>3184.96</v>
      </c>
      <c r="L81" s="39">
        <f t="shared" si="48"/>
        <v>3271.2799999999997</v>
      </c>
      <c r="M81" s="39">
        <f t="shared" si="48"/>
        <v>3356.7999999999997</v>
      </c>
    </row>
    <row r="82" spans="1:13" x14ac:dyDescent="0.2">
      <c r="A82" s="13"/>
      <c r="B82" s="13"/>
      <c r="C82" s="20" t="s">
        <v>33</v>
      </c>
      <c r="D82" s="39">
        <f>D81*'Start Page'!$C$54</f>
        <v>67143.44</v>
      </c>
      <c r="E82" s="39">
        <f>E81*'Start Page'!$C$54</f>
        <v>69387.760000000009</v>
      </c>
      <c r="F82" s="39">
        <f>F81*'Start Page'!$C$54</f>
        <v>71625.319999999992</v>
      </c>
      <c r="G82" s="39">
        <f>G81*'Start Page'!$C$54</f>
        <v>73848.84</v>
      </c>
      <c r="H82" s="39">
        <f>H81*'Start Page'!$C$54</f>
        <v>76093.16</v>
      </c>
      <c r="I82" s="39">
        <f>I81*'Start Page'!$C$54</f>
        <v>78327.08</v>
      </c>
      <c r="J82" s="39">
        <f>J81*'Start Page'!$C$54</f>
        <v>80571.400000000009</v>
      </c>
      <c r="K82" s="39">
        <f>K81*'Start Page'!$C$54</f>
        <v>82808.960000000006</v>
      </c>
      <c r="L82" s="39">
        <f>L81*'Start Page'!$C$54</f>
        <v>85053.28</v>
      </c>
      <c r="M82" s="39">
        <f>M81*'Start Page'!$C$54</f>
        <v>87276.799999999988</v>
      </c>
    </row>
    <row r="83" spans="1:13" s="42" customFormat="1" x14ac:dyDescent="0.2">
      <c r="A83" s="22"/>
      <c r="B83" s="22"/>
      <c r="C83" s="23" t="s">
        <v>166</v>
      </c>
      <c r="D83" s="40">
        <f>((D75*80)+(D77*($B$14-80)))*'Start Page'!$C$54</f>
        <v>64064</v>
      </c>
      <c r="E83" s="40">
        <f>((E75*80)+(E77*($B$14-80)))*'Start Page'!$C$54</f>
        <v>66206.400000000009</v>
      </c>
      <c r="F83" s="40">
        <f>((F75*80)+(F77*($B$14-80)))*'Start Page'!$C$54</f>
        <v>68338.399999999994</v>
      </c>
      <c r="G83" s="40">
        <f>((G75*80)+(G77*($B$14-80)))*'Start Page'!$C$54</f>
        <v>70460</v>
      </c>
      <c r="H83" s="40">
        <f>((H75*80)+(H77*($B$14-80)))*'Start Page'!$C$54</f>
        <v>72602.400000000009</v>
      </c>
      <c r="I83" s="40">
        <f>((I75*80)+(I77*($B$14-80)))*'Start Page'!$C$54</f>
        <v>74734.399999999994</v>
      </c>
      <c r="J83" s="40">
        <f>((J75*80)+(J77*($B$14-80)))*'Start Page'!$C$54</f>
        <v>76876.799999999988</v>
      </c>
      <c r="K83" s="40">
        <f>((K75*80)+(K77*($B$14-80)))*'Start Page'!$C$54</f>
        <v>79008.800000000003</v>
      </c>
      <c r="L83" s="40">
        <f>((L75*80)+(L77*($B$14-80)))*'Start Page'!$C$54</f>
        <v>81151.199999999997</v>
      </c>
      <c r="M83" s="41">
        <f>((M75*80)+(M77*($B$14-80)))*'Start Page'!$C$54</f>
        <v>83272.799999999988</v>
      </c>
    </row>
    <row r="84" spans="1:13" x14ac:dyDescent="0.2">
      <c r="A84" s="27"/>
      <c r="B84" s="27"/>
      <c r="C84" s="14" t="s">
        <v>30</v>
      </c>
      <c r="D84" s="37">
        <f>'GS Pay Scale'!B15</f>
        <v>51345</v>
      </c>
      <c r="E84" s="37">
        <f>'GS Pay Scale'!C15</f>
        <v>53056</v>
      </c>
      <c r="F84" s="37">
        <f>'GS Pay Scale'!D15</f>
        <v>54768</v>
      </c>
      <c r="G84" s="37">
        <f>'GS Pay Scale'!E15</f>
        <v>56479</v>
      </c>
      <c r="H84" s="37">
        <f>'GS Pay Scale'!F15</f>
        <v>58190</v>
      </c>
      <c r="I84" s="37">
        <f>'GS Pay Scale'!G15</f>
        <v>59902</v>
      </c>
      <c r="J84" s="37">
        <f>'GS Pay Scale'!H15</f>
        <v>61613</v>
      </c>
      <c r="K84" s="37">
        <f>'GS Pay Scale'!I15</f>
        <v>63324</v>
      </c>
      <c r="L84" s="37">
        <f>'GS Pay Scale'!J15</f>
        <v>65036</v>
      </c>
      <c r="M84" s="37">
        <f>'GS Pay Scale'!K15</f>
        <v>66747</v>
      </c>
    </row>
    <row r="85" spans="1:13" x14ac:dyDescent="0.2">
      <c r="A85" s="13"/>
      <c r="B85" s="13">
        <v>80</v>
      </c>
      <c r="C85" s="36" t="s">
        <v>52</v>
      </c>
      <c r="D85" s="37">
        <f t="shared" ref="D85:M85" si="49">D86*80</f>
        <v>1968</v>
      </c>
      <c r="E85" s="37">
        <f t="shared" si="49"/>
        <v>2033.6000000000001</v>
      </c>
      <c r="F85" s="37">
        <f t="shared" si="49"/>
        <v>2099.1999999999998</v>
      </c>
      <c r="G85" s="37">
        <f t="shared" si="49"/>
        <v>2164.7999999999997</v>
      </c>
      <c r="H85" s="37">
        <f t="shared" si="49"/>
        <v>2230.4</v>
      </c>
      <c r="I85" s="37">
        <f t="shared" si="49"/>
        <v>2296</v>
      </c>
      <c r="J85" s="37">
        <f t="shared" si="49"/>
        <v>2361.6</v>
      </c>
      <c r="K85" s="37">
        <f t="shared" si="49"/>
        <v>2427.1999999999998</v>
      </c>
      <c r="L85" s="37">
        <f t="shared" si="49"/>
        <v>2492.8000000000002</v>
      </c>
      <c r="M85" s="37">
        <f t="shared" si="49"/>
        <v>2558.4</v>
      </c>
    </row>
    <row r="86" spans="1:13" x14ac:dyDescent="0.2">
      <c r="A86" s="13"/>
      <c r="B86" s="13"/>
      <c r="C86" s="36" t="s">
        <v>20</v>
      </c>
      <c r="D86" s="38">
        <f>ROUND(D84/2087,2)</f>
        <v>24.6</v>
      </c>
      <c r="E86" s="38">
        <f t="shared" ref="E86:M86" si="50">ROUND(E84/2087,2)</f>
        <v>25.42</v>
      </c>
      <c r="F86" s="38">
        <f t="shared" si="50"/>
        <v>26.24</v>
      </c>
      <c r="G86" s="38">
        <f t="shared" si="50"/>
        <v>27.06</v>
      </c>
      <c r="H86" s="38">
        <f t="shared" si="50"/>
        <v>27.88</v>
      </c>
      <c r="I86" s="38">
        <f t="shared" si="50"/>
        <v>28.7</v>
      </c>
      <c r="J86" s="38">
        <f t="shared" si="50"/>
        <v>29.52</v>
      </c>
      <c r="K86" s="38">
        <f t="shared" si="50"/>
        <v>30.34</v>
      </c>
      <c r="L86" s="38">
        <f t="shared" si="50"/>
        <v>31.16</v>
      </c>
      <c r="M86" s="38">
        <f t="shared" si="50"/>
        <v>31.98</v>
      </c>
    </row>
    <row r="87" spans="1:13" x14ac:dyDescent="0.2">
      <c r="A87" s="13"/>
      <c r="B87" s="13">
        <v>26</v>
      </c>
      <c r="C87" s="16" t="s">
        <v>47</v>
      </c>
      <c r="D87" s="38">
        <f t="shared" ref="D87:M87" si="51">D88*26</f>
        <v>484.38</v>
      </c>
      <c r="E87" s="38">
        <f t="shared" si="51"/>
        <v>500.5</v>
      </c>
      <c r="F87" s="38">
        <f t="shared" si="51"/>
        <v>516.62</v>
      </c>
      <c r="G87" s="38">
        <f t="shared" si="51"/>
        <v>532.74</v>
      </c>
      <c r="H87" s="38">
        <f t="shared" si="51"/>
        <v>548.86</v>
      </c>
      <c r="I87" s="38">
        <f t="shared" si="51"/>
        <v>565.24</v>
      </c>
      <c r="J87" s="38">
        <f t="shared" si="51"/>
        <v>581.36</v>
      </c>
      <c r="K87" s="38">
        <f t="shared" si="51"/>
        <v>597.48</v>
      </c>
      <c r="L87" s="38">
        <f t="shared" si="51"/>
        <v>613.6</v>
      </c>
      <c r="M87" s="38">
        <f t="shared" si="51"/>
        <v>629.72</v>
      </c>
    </row>
    <row r="88" spans="1:13" x14ac:dyDescent="0.2">
      <c r="A88" s="13"/>
      <c r="B88" s="13"/>
      <c r="C88" s="16" t="s">
        <v>13</v>
      </c>
      <c r="D88" s="38">
        <f>ROUND(D84/2756,2)</f>
        <v>18.63</v>
      </c>
      <c r="E88" s="38">
        <f t="shared" ref="E88:M88" si="52">ROUND(E84/2756,2)</f>
        <v>19.25</v>
      </c>
      <c r="F88" s="38">
        <f t="shared" si="52"/>
        <v>19.87</v>
      </c>
      <c r="G88" s="38">
        <f t="shared" si="52"/>
        <v>20.49</v>
      </c>
      <c r="H88" s="38">
        <f t="shared" si="52"/>
        <v>21.11</v>
      </c>
      <c r="I88" s="38">
        <f t="shared" si="52"/>
        <v>21.74</v>
      </c>
      <c r="J88" s="38">
        <f t="shared" si="52"/>
        <v>22.36</v>
      </c>
      <c r="K88" s="38">
        <f t="shared" si="52"/>
        <v>22.98</v>
      </c>
      <c r="L88" s="38">
        <f t="shared" si="52"/>
        <v>23.6</v>
      </c>
      <c r="M88" s="38">
        <f t="shared" si="52"/>
        <v>24.22</v>
      </c>
    </row>
    <row r="89" spans="1:13" x14ac:dyDescent="0.2">
      <c r="A89" s="13" t="s">
        <v>25</v>
      </c>
      <c r="B89" s="19">
        <f>($G$3-53)*2</f>
        <v>14</v>
      </c>
      <c r="C89" s="16" t="s">
        <v>48</v>
      </c>
      <c r="D89" s="38">
        <f t="shared" ref="D89:M89" si="53">D90*$B$11</f>
        <v>391.3</v>
      </c>
      <c r="E89" s="38">
        <f t="shared" si="53"/>
        <v>404.32</v>
      </c>
      <c r="F89" s="38">
        <f t="shared" si="53"/>
        <v>417.34</v>
      </c>
      <c r="G89" s="38">
        <f t="shared" si="53"/>
        <v>430.35999999999996</v>
      </c>
      <c r="H89" s="38">
        <f t="shared" si="53"/>
        <v>443.38</v>
      </c>
      <c r="I89" s="38">
        <f t="shared" si="53"/>
        <v>456.53999999999996</v>
      </c>
      <c r="J89" s="38">
        <f t="shared" si="53"/>
        <v>469.56</v>
      </c>
      <c r="K89" s="38">
        <f t="shared" si="53"/>
        <v>482.58</v>
      </c>
      <c r="L89" s="38">
        <f t="shared" si="53"/>
        <v>495.59999999999997</v>
      </c>
      <c r="M89" s="38">
        <f t="shared" si="53"/>
        <v>508.62</v>
      </c>
    </row>
    <row r="90" spans="1:13" x14ac:dyDescent="0.2">
      <c r="A90" s="13"/>
      <c r="B90" s="13"/>
      <c r="C90" s="16" t="s">
        <v>14</v>
      </c>
      <c r="D90" s="17">
        <f>IF(ROUND(D88*1.5,2)&lt;$G$139,ROUND(D88*1.5,2),IF($G$139&lt;D88,D88,$G$139))</f>
        <v>27.95</v>
      </c>
      <c r="E90" s="17">
        <f t="shared" ref="E90:M90" si="54">IF(ROUND(E88*1.5,2)&lt;$G$139,ROUND(E88*1.5,2),IF($G$139&lt;E88,E88,$G$139))</f>
        <v>28.88</v>
      </c>
      <c r="F90" s="17">
        <f t="shared" si="54"/>
        <v>29.81</v>
      </c>
      <c r="G90" s="17">
        <f t="shared" si="54"/>
        <v>30.74</v>
      </c>
      <c r="H90" s="17">
        <f t="shared" si="54"/>
        <v>31.67</v>
      </c>
      <c r="I90" s="17">
        <f t="shared" si="54"/>
        <v>32.61</v>
      </c>
      <c r="J90" s="17">
        <f t="shared" si="54"/>
        <v>33.54</v>
      </c>
      <c r="K90" s="17">
        <f t="shared" si="54"/>
        <v>34.47</v>
      </c>
      <c r="L90" s="17">
        <f t="shared" si="54"/>
        <v>35.4</v>
      </c>
      <c r="M90" s="17">
        <f t="shared" si="54"/>
        <v>36.33</v>
      </c>
    </row>
    <row r="91" spans="1:13" s="75" customFormat="1" x14ac:dyDescent="0.2">
      <c r="A91" s="74"/>
      <c r="B91" s="74"/>
      <c r="C91" s="36" t="s">
        <v>73</v>
      </c>
      <c r="D91" s="17">
        <f>IF(VLOOKUP('Start Page'!$C$46,'Locality Rates'!$A$2:$C$49,3,FALSE)=1,(ROUND(D86*'Start Page'!$C$48,2)*80)+(ROUND(D88*'Start Page'!$C$48,2)*($B$14-80)),0)</f>
        <v>0</v>
      </c>
      <c r="E91" s="17">
        <f>IF(VLOOKUP('Start Page'!$C$46,'Locality Rates'!$A$2:$C$49,3,FALSE)=1,(ROUND(E86*'Start Page'!$C$48,2)*80)+(ROUND(E88*'Start Page'!$C$48,2)*($B$14-80)),0)</f>
        <v>0</v>
      </c>
      <c r="F91" s="17">
        <f>IF(VLOOKUP('Start Page'!$C$46,'Locality Rates'!$A$2:$C$49,3,FALSE)=1,(ROUND(F86*'Start Page'!$C$48,2)*80)+(ROUND(F88*'Start Page'!$C$48,2)*($B$14-80)),0)</f>
        <v>0</v>
      </c>
      <c r="G91" s="17">
        <f>IF(VLOOKUP('Start Page'!$C$46,'Locality Rates'!$A$2:$C$49,3,FALSE)=1,(ROUND(G86*'Start Page'!$C$48,2)*80)+(ROUND(G88*'Start Page'!$C$48,2)*($B$14-80)),0)</f>
        <v>0</v>
      </c>
      <c r="H91" s="17">
        <f>IF(VLOOKUP('Start Page'!$C$46,'Locality Rates'!$A$2:$C$49,3,FALSE)=1,(ROUND(H86*'Start Page'!$C$48,2)*80)+(ROUND(H88*'Start Page'!$C$48,2)*($B$14-80)),0)</f>
        <v>0</v>
      </c>
      <c r="I91" s="17">
        <f>IF(VLOOKUP('Start Page'!$C$46,'Locality Rates'!$A$2:$C$49,3,FALSE)=1,(ROUND(I86*'Start Page'!$C$48,2)*80)+(ROUND(I88*'Start Page'!$C$48,2)*($B$14-80)),0)</f>
        <v>0</v>
      </c>
      <c r="J91" s="17">
        <f>IF(VLOOKUP('Start Page'!$C$46,'Locality Rates'!$A$2:$C$49,3,FALSE)=1,(ROUND(J86*'Start Page'!$C$48,2)*80)+(ROUND(J88*'Start Page'!$C$48,2)*($B$14-80)),0)</f>
        <v>0</v>
      </c>
      <c r="K91" s="17">
        <f>IF(VLOOKUP('Start Page'!$C$46,'Locality Rates'!$A$2:$C$49,3,FALSE)=1,(ROUND(K86*'Start Page'!$C$48,2)*80)+(ROUND(K88*'Start Page'!$C$48,2)*($B$14-80)),0)</f>
        <v>0</v>
      </c>
      <c r="L91" s="17">
        <f>IF(VLOOKUP('Start Page'!$C$46,'Locality Rates'!$A$2:$C$49,3,FALSE)=1,(ROUND(L86*'Start Page'!$C$48,2)*80)+(ROUND(L88*'Start Page'!$C$48,2)*($B$14-80)),0)</f>
        <v>0</v>
      </c>
      <c r="M91" s="17">
        <f>IF(VLOOKUP('Start Page'!$C$46,'Locality Rates'!$A$2:$C$49,3,FALSE)=1,(ROUND(M86*'Start Page'!$C$48,2)*80)+(ROUND(M88*'Start Page'!$C$48,2)*($B$14-80)),0)</f>
        <v>0</v>
      </c>
    </row>
    <row r="92" spans="1:13" x14ac:dyDescent="0.2">
      <c r="A92" s="13"/>
      <c r="B92" s="13">
        <f>B85+B87+B89</f>
        <v>120</v>
      </c>
      <c r="C92" s="20" t="s">
        <v>17</v>
      </c>
      <c r="D92" s="39">
        <f t="shared" ref="D92:M92" si="55">D85+D87+D89+D91</f>
        <v>2843.6800000000003</v>
      </c>
      <c r="E92" s="39">
        <f t="shared" si="55"/>
        <v>2938.4200000000005</v>
      </c>
      <c r="F92" s="39">
        <f t="shared" si="55"/>
        <v>3033.16</v>
      </c>
      <c r="G92" s="39">
        <f t="shared" si="55"/>
        <v>3127.9</v>
      </c>
      <c r="H92" s="39">
        <f t="shared" si="55"/>
        <v>3222.6400000000003</v>
      </c>
      <c r="I92" s="39">
        <f t="shared" si="55"/>
        <v>3317.7799999999997</v>
      </c>
      <c r="J92" s="39">
        <f t="shared" si="55"/>
        <v>3412.52</v>
      </c>
      <c r="K92" s="39">
        <f t="shared" si="55"/>
        <v>3507.2599999999998</v>
      </c>
      <c r="L92" s="39">
        <f t="shared" si="55"/>
        <v>3602</v>
      </c>
      <c r="M92" s="39">
        <f t="shared" si="55"/>
        <v>3696.74</v>
      </c>
    </row>
    <row r="93" spans="1:13" x14ac:dyDescent="0.2">
      <c r="A93" s="13"/>
      <c r="B93" s="13"/>
      <c r="C93" s="20" t="s">
        <v>33</v>
      </c>
      <c r="D93" s="39">
        <f>D92*'Start Page'!$C$54</f>
        <v>73935.680000000008</v>
      </c>
      <c r="E93" s="39">
        <f>E92*'Start Page'!$C$54</f>
        <v>76398.920000000013</v>
      </c>
      <c r="F93" s="39">
        <f>F92*'Start Page'!$C$54</f>
        <v>78862.16</v>
      </c>
      <c r="G93" s="39">
        <f>G92*'Start Page'!$C$54</f>
        <v>81325.400000000009</v>
      </c>
      <c r="H93" s="39">
        <f>H92*'Start Page'!$C$54</f>
        <v>83788.640000000014</v>
      </c>
      <c r="I93" s="39">
        <f>I92*'Start Page'!$C$54</f>
        <v>86262.28</v>
      </c>
      <c r="J93" s="39">
        <f>J92*'Start Page'!$C$54</f>
        <v>88725.52</v>
      </c>
      <c r="K93" s="39">
        <f>K92*'Start Page'!$C$54</f>
        <v>91188.76</v>
      </c>
      <c r="L93" s="39">
        <f>L92*'Start Page'!$C$54</f>
        <v>93652</v>
      </c>
      <c r="M93" s="39">
        <f>M92*'Start Page'!$C$54</f>
        <v>96115.239999999991</v>
      </c>
    </row>
    <row r="94" spans="1:13" s="42" customFormat="1" x14ac:dyDescent="0.2">
      <c r="A94" s="22"/>
      <c r="B94" s="22"/>
      <c r="C94" s="23" t="s">
        <v>166</v>
      </c>
      <c r="D94" s="40">
        <f>((D86*80)+(D88*($B$14-80)))*'Start Page'!$C$54</f>
        <v>70543.199999999997</v>
      </c>
      <c r="E94" s="40">
        <f>((E86*80)+(E88*($B$14-80)))*'Start Page'!$C$54</f>
        <v>72893.600000000006</v>
      </c>
      <c r="F94" s="40">
        <f>((F86*80)+(F88*($B$14-80)))*'Start Page'!$C$54</f>
        <v>75244</v>
      </c>
      <c r="G94" s="40">
        <f>((G86*80)+(G88*($B$14-80)))*'Start Page'!$C$54</f>
        <v>77594.399999999994</v>
      </c>
      <c r="H94" s="40">
        <f>((H86*80)+(H88*($B$14-80)))*'Start Page'!$C$54</f>
        <v>79944.800000000003</v>
      </c>
      <c r="I94" s="40">
        <f>((I86*80)+(I88*($B$14-80)))*'Start Page'!$C$54</f>
        <v>82305.599999999991</v>
      </c>
      <c r="J94" s="40">
        <f>((J86*80)+(J88*($B$14-80)))*'Start Page'!$C$54</f>
        <v>84656</v>
      </c>
      <c r="K94" s="40">
        <f>((K86*80)+(K88*($B$14-80)))*'Start Page'!$C$54</f>
        <v>87006.399999999994</v>
      </c>
      <c r="L94" s="40">
        <f>((L86*80)+(L88*($B$14-80)))*'Start Page'!$C$54</f>
        <v>89356.800000000003</v>
      </c>
      <c r="M94" s="41">
        <f>((M86*80)+(M88*($B$14-80)))*'Start Page'!$C$54</f>
        <v>91707.199999999997</v>
      </c>
    </row>
    <row r="95" spans="1:13" x14ac:dyDescent="0.2">
      <c r="A95" s="12" t="s">
        <v>0</v>
      </c>
      <c r="B95" s="12" t="s">
        <v>49</v>
      </c>
      <c r="C95" s="12" t="s">
        <v>1</v>
      </c>
      <c r="D95" s="12" t="s">
        <v>2</v>
      </c>
      <c r="E95" s="12" t="s">
        <v>3</v>
      </c>
      <c r="F95" s="12" t="s">
        <v>4</v>
      </c>
      <c r="G95" s="12" t="s">
        <v>5</v>
      </c>
      <c r="H95" s="12" t="s">
        <v>6</v>
      </c>
      <c r="I95" s="12" t="s">
        <v>7</v>
      </c>
      <c r="J95" s="12" t="s">
        <v>8</v>
      </c>
      <c r="K95" s="12" t="s">
        <v>9</v>
      </c>
      <c r="L95" s="12" t="s">
        <v>10</v>
      </c>
      <c r="M95" s="12" t="s">
        <v>11</v>
      </c>
    </row>
    <row r="96" spans="1:13" x14ac:dyDescent="0.2">
      <c r="A96" s="27"/>
      <c r="B96" s="27"/>
      <c r="C96" s="14" t="s">
        <v>30</v>
      </c>
      <c r="D96" s="37">
        <f>'GS Pay Scale'!B16</f>
        <v>56411</v>
      </c>
      <c r="E96" s="37">
        <f>'GS Pay Scale'!C16</f>
        <v>58291</v>
      </c>
      <c r="F96" s="37">
        <f>'GS Pay Scale'!D16</f>
        <v>60170</v>
      </c>
      <c r="G96" s="37">
        <f>'GS Pay Scale'!E16</f>
        <v>62050</v>
      </c>
      <c r="H96" s="37">
        <f>'GS Pay Scale'!F16</f>
        <v>63930</v>
      </c>
      <c r="I96" s="37">
        <f>'GS Pay Scale'!G16</f>
        <v>65810</v>
      </c>
      <c r="J96" s="37">
        <f>'GS Pay Scale'!H16</f>
        <v>67690</v>
      </c>
      <c r="K96" s="37">
        <f>'GS Pay Scale'!I16</f>
        <v>69570</v>
      </c>
      <c r="L96" s="37">
        <f>'GS Pay Scale'!J16</f>
        <v>71449</v>
      </c>
      <c r="M96" s="37">
        <f>'GS Pay Scale'!K16</f>
        <v>73329</v>
      </c>
    </row>
    <row r="97" spans="1:13" x14ac:dyDescent="0.2">
      <c r="A97" s="13"/>
      <c r="B97" s="13">
        <v>80</v>
      </c>
      <c r="C97" s="36" t="s">
        <v>52</v>
      </c>
      <c r="D97" s="37">
        <f t="shared" ref="D97:M97" si="56">D98*80</f>
        <v>2162.4</v>
      </c>
      <c r="E97" s="37">
        <f t="shared" si="56"/>
        <v>2234.4</v>
      </c>
      <c r="F97" s="37">
        <f t="shared" si="56"/>
        <v>2306.3999999999996</v>
      </c>
      <c r="G97" s="37">
        <f t="shared" si="56"/>
        <v>2378.4</v>
      </c>
      <c r="H97" s="37">
        <f t="shared" si="56"/>
        <v>2450.4</v>
      </c>
      <c r="I97" s="37">
        <f t="shared" si="56"/>
        <v>2522.4</v>
      </c>
      <c r="J97" s="37">
        <f t="shared" si="56"/>
        <v>2594.4</v>
      </c>
      <c r="K97" s="37">
        <f t="shared" si="56"/>
        <v>2666.3999999999996</v>
      </c>
      <c r="L97" s="37">
        <f t="shared" si="56"/>
        <v>2739.2000000000003</v>
      </c>
      <c r="M97" s="37">
        <f t="shared" si="56"/>
        <v>2811.2</v>
      </c>
    </row>
    <row r="98" spans="1:13" x14ac:dyDescent="0.2">
      <c r="A98" s="13"/>
      <c r="B98" s="13"/>
      <c r="C98" s="36" t="s">
        <v>20</v>
      </c>
      <c r="D98" s="38">
        <f>ROUND(D96/2087,2)</f>
        <v>27.03</v>
      </c>
      <c r="E98" s="38">
        <f t="shared" ref="E98:M98" si="57">ROUND(E96/2087,2)</f>
        <v>27.93</v>
      </c>
      <c r="F98" s="38">
        <f t="shared" si="57"/>
        <v>28.83</v>
      </c>
      <c r="G98" s="38">
        <f t="shared" si="57"/>
        <v>29.73</v>
      </c>
      <c r="H98" s="38">
        <f t="shared" si="57"/>
        <v>30.63</v>
      </c>
      <c r="I98" s="38">
        <f t="shared" si="57"/>
        <v>31.53</v>
      </c>
      <c r="J98" s="38">
        <f t="shared" si="57"/>
        <v>32.43</v>
      </c>
      <c r="K98" s="38">
        <f t="shared" si="57"/>
        <v>33.33</v>
      </c>
      <c r="L98" s="38">
        <f t="shared" si="57"/>
        <v>34.24</v>
      </c>
      <c r="M98" s="38">
        <f t="shared" si="57"/>
        <v>35.14</v>
      </c>
    </row>
    <row r="99" spans="1:13" x14ac:dyDescent="0.2">
      <c r="A99" s="13"/>
      <c r="B99" s="13">
        <v>26</v>
      </c>
      <c r="C99" s="16" t="s">
        <v>47</v>
      </c>
      <c r="D99" s="38">
        <f t="shared" ref="D99:M99" si="58">D100*26</f>
        <v>532.22</v>
      </c>
      <c r="E99" s="38">
        <f t="shared" si="58"/>
        <v>549.9</v>
      </c>
      <c r="F99" s="38">
        <f t="shared" si="58"/>
        <v>567.57999999999993</v>
      </c>
      <c r="G99" s="38">
        <f t="shared" si="58"/>
        <v>585.26</v>
      </c>
      <c r="H99" s="38">
        <f t="shared" si="58"/>
        <v>603.19999999999993</v>
      </c>
      <c r="I99" s="38">
        <f t="shared" si="58"/>
        <v>620.88</v>
      </c>
      <c r="J99" s="38">
        <f t="shared" si="58"/>
        <v>638.55999999999995</v>
      </c>
      <c r="K99" s="38">
        <f t="shared" si="58"/>
        <v>656.24</v>
      </c>
      <c r="L99" s="38">
        <f t="shared" si="58"/>
        <v>673.92000000000007</v>
      </c>
      <c r="M99" s="38">
        <f t="shared" si="58"/>
        <v>691.86</v>
      </c>
    </row>
    <row r="100" spans="1:13" x14ac:dyDescent="0.2">
      <c r="A100" s="13"/>
      <c r="B100" s="13"/>
      <c r="C100" s="16" t="s">
        <v>13</v>
      </c>
      <c r="D100" s="38">
        <f>ROUND(D96/2756,2)</f>
        <v>20.47</v>
      </c>
      <c r="E100" s="38">
        <f t="shared" ref="E100:M100" si="59">ROUND(E96/2756,2)</f>
        <v>21.15</v>
      </c>
      <c r="F100" s="38">
        <f t="shared" si="59"/>
        <v>21.83</v>
      </c>
      <c r="G100" s="38">
        <f t="shared" si="59"/>
        <v>22.51</v>
      </c>
      <c r="H100" s="38">
        <f t="shared" si="59"/>
        <v>23.2</v>
      </c>
      <c r="I100" s="38">
        <f t="shared" si="59"/>
        <v>23.88</v>
      </c>
      <c r="J100" s="38">
        <f t="shared" si="59"/>
        <v>24.56</v>
      </c>
      <c r="K100" s="38">
        <f t="shared" si="59"/>
        <v>25.24</v>
      </c>
      <c r="L100" s="38">
        <f t="shared" si="59"/>
        <v>25.92</v>
      </c>
      <c r="M100" s="38">
        <f t="shared" si="59"/>
        <v>26.61</v>
      </c>
    </row>
    <row r="101" spans="1:13" x14ac:dyDescent="0.2">
      <c r="A101" s="13" t="s">
        <v>16</v>
      </c>
      <c r="B101" s="19">
        <f>($G$3-53)*2</f>
        <v>14</v>
      </c>
      <c r="C101" s="16" t="s">
        <v>48</v>
      </c>
      <c r="D101" s="38">
        <f t="shared" ref="D101:M101" si="60">D102*$B$11</f>
        <v>429.94</v>
      </c>
      <c r="E101" s="38">
        <f t="shared" si="60"/>
        <v>444.22</v>
      </c>
      <c r="F101" s="38">
        <f t="shared" si="60"/>
        <v>458.5</v>
      </c>
      <c r="G101" s="38">
        <f t="shared" si="60"/>
        <v>472.78000000000003</v>
      </c>
      <c r="H101" s="38">
        <f t="shared" si="60"/>
        <v>487.19999999999993</v>
      </c>
      <c r="I101" s="38">
        <f t="shared" si="60"/>
        <v>501.48</v>
      </c>
      <c r="J101" s="38">
        <f t="shared" si="60"/>
        <v>515.76</v>
      </c>
      <c r="K101" s="38">
        <f t="shared" si="60"/>
        <v>516.6</v>
      </c>
      <c r="L101" s="38">
        <f t="shared" si="60"/>
        <v>516.6</v>
      </c>
      <c r="M101" s="38">
        <f t="shared" si="60"/>
        <v>516.6</v>
      </c>
    </row>
    <row r="102" spans="1:13" x14ac:dyDescent="0.2">
      <c r="A102" s="13"/>
      <c r="B102" s="13"/>
      <c r="C102" s="16" t="s">
        <v>14</v>
      </c>
      <c r="D102" s="17">
        <f>IF(ROUND(D100*1.5,2)&lt;$G$139,ROUND(D100*1.5,2),IF($G$139&lt;D100,D100,$G$139))</f>
        <v>30.71</v>
      </c>
      <c r="E102" s="17">
        <f t="shared" ref="E102:M102" si="61">IF(ROUND(E100*1.5,2)&lt;$G$139,ROUND(E100*1.5,2),IF($G$139&lt;E100,E100,$G$139))</f>
        <v>31.73</v>
      </c>
      <c r="F102" s="17">
        <f t="shared" si="61"/>
        <v>32.75</v>
      </c>
      <c r="G102" s="17">
        <f t="shared" si="61"/>
        <v>33.770000000000003</v>
      </c>
      <c r="H102" s="17">
        <f t="shared" si="61"/>
        <v>34.799999999999997</v>
      </c>
      <c r="I102" s="17">
        <f t="shared" si="61"/>
        <v>35.82</v>
      </c>
      <c r="J102" s="17">
        <f t="shared" si="61"/>
        <v>36.840000000000003</v>
      </c>
      <c r="K102" s="17">
        <f t="shared" si="61"/>
        <v>36.9</v>
      </c>
      <c r="L102" s="17">
        <f t="shared" si="61"/>
        <v>36.9</v>
      </c>
      <c r="M102" s="17">
        <f t="shared" si="61"/>
        <v>36.9</v>
      </c>
    </row>
    <row r="103" spans="1:13" s="75" customFormat="1" x14ac:dyDescent="0.2">
      <c r="A103" s="74"/>
      <c r="B103" s="74"/>
      <c r="C103" s="36" t="s">
        <v>73</v>
      </c>
      <c r="D103" s="17">
        <f>IF(VLOOKUP('Start Page'!$C$46,'Locality Rates'!$A$2:$C$49,3,FALSE)=1,(ROUND(D98*'Start Page'!$C$48,2)*80)+(ROUND(D100*'Start Page'!$C$48,2)*($B$14-80)),0)</f>
        <v>0</v>
      </c>
      <c r="E103" s="17">
        <f>IF(VLOOKUP('Start Page'!$C$46,'Locality Rates'!$A$2:$C$49,3,FALSE)=1,(ROUND(E98*'Start Page'!$C$48,2)*80)+(ROUND(E100*'Start Page'!$C$48,2)*($B$14-80)),0)</f>
        <v>0</v>
      </c>
      <c r="F103" s="17">
        <f>IF(VLOOKUP('Start Page'!$C$46,'Locality Rates'!$A$2:$C$49,3,FALSE)=1,(ROUND(F98*'Start Page'!$C$48,2)*80)+(ROUND(F100*'Start Page'!$C$48,2)*($B$14-80)),0)</f>
        <v>0</v>
      </c>
      <c r="G103" s="17">
        <f>IF(VLOOKUP('Start Page'!$C$46,'Locality Rates'!$A$2:$C$49,3,FALSE)=1,(ROUND(G98*'Start Page'!$C$48,2)*80)+(ROUND(G100*'Start Page'!$C$48,2)*($B$14-80)),0)</f>
        <v>0</v>
      </c>
      <c r="H103" s="17">
        <f>IF(VLOOKUP('Start Page'!$C$46,'Locality Rates'!$A$2:$C$49,3,FALSE)=1,(ROUND(H98*'Start Page'!$C$48,2)*80)+(ROUND(H100*'Start Page'!$C$48,2)*($B$14-80)),0)</f>
        <v>0</v>
      </c>
      <c r="I103" s="17">
        <f>IF(VLOOKUP('Start Page'!$C$46,'Locality Rates'!$A$2:$C$49,3,FALSE)=1,(ROUND(I98*'Start Page'!$C$48,2)*80)+(ROUND(I100*'Start Page'!$C$48,2)*($B$14-80)),0)</f>
        <v>0</v>
      </c>
      <c r="J103" s="17">
        <f>IF(VLOOKUP('Start Page'!$C$46,'Locality Rates'!$A$2:$C$49,3,FALSE)=1,(ROUND(J98*'Start Page'!$C$48,2)*80)+(ROUND(J100*'Start Page'!$C$48,2)*($B$14-80)),0)</f>
        <v>0</v>
      </c>
      <c r="K103" s="17">
        <f>IF(VLOOKUP('Start Page'!$C$46,'Locality Rates'!$A$2:$C$49,3,FALSE)=1,(ROUND(K98*'Start Page'!$C$48,2)*80)+(ROUND(K100*'Start Page'!$C$48,2)*($B$14-80)),0)</f>
        <v>0</v>
      </c>
      <c r="L103" s="17">
        <f>IF(VLOOKUP('Start Page'!$C$46,'Locality Rates'!$A$2:$C$49,3,FALSE)=1,(ROUND(L98*'Start Page'!$C$48,2)*80)+(ROUND(L100*'Start Page'!$C$48,2)*($B$14-80)),0)</f>
        <v>0</v>
      </c>
      <c r="M103" s="17">
        <f>IF(VLOOKUP('Start Page'!$C$46,'Locality Rates'!$A$2:$C$49,3,FALSE)=1,(ROUND(M98*'Start Page'!$C$48,2)*80)+(ROUND(M100*'Start Page'!$C$48,2)*($B$14-80)),0)</f>
        <v>0</v>
      </c>
    </row>
    <row r="104" spans="1:13" x14ac:dyDescent="0.2">
      <c r="A104" s="13"/>
      <c r="B104" s="13">
        <f>B97+B99+B101</f>
        <v>120</v>
      </c>
      <c r="C104" s="20" t="s">
        <v>17</v>
      </c>
      <c r="D104" s="39">
        <f t="shared" ref="D104:M104" si="62">D97+D99+D101+D103</f>
        <v>3124.56</v>
      </c>
      <c r="E104" s="39">
        <f t="shared" si="62"/>
        <v>3228.5200000000004</v>
      </c>
      <c r="F104" s="39">
        <f t="shared" si="62"/>
        <v>3332.4799999999996</v>
      </c>
      <c r="G104" s="39">
        <f t="shared" si="62"/>
        <v>3436.44</v>
      </c>
      <c r="H104" s="39">
        <f t="shared" si="62"/>
        <v>3540.7999999999997</v>
      </c>
      <c r="I104" s="39">
        <f t="shared" si="62"/>
        <v>3644.76</v>
      </c>
      <c r="J104" s="39">
        <f t="shared" si="62"/>
        <v>3748.7200000000003</v>
      </c>
      <c r="K104" s="39">
        <f t="shared" si="62"/>
        <v>3839.2399999999993</v>
      </c>
      <c r="L104" s="39">
        <f t="shared" si="62"/>
        <v>3929.7200000000003</v>
      </c>
      <c r="M104" s="39">
        <f t="shared" si="62"/>
        <v>4019.66</v>
      </c>
    </row>
    <row r="105" spans="1:13" x14ac:dyDescent="0.2">
      <c r="A105" s="13"/>
      <c r="B105" s="13"/>
      <c r="C105" s="20" t="s">
        <v>33</v>
      </c>
      <c r="D105" s="39">
        <f>D104*'Start Page'!$C$54</f>
        <v>81238.559999999998</v>
      </c>
      <c r="E105" s="39">
        <f>E104*'Start Page'!$C$54</f>
        <v>83941.520000000019</v>
      </c>
      <c r="F105" s="39">
        <f>F104*'Start Page'!$C$54</f>
        <v>86644.479999999981</v>
      </c>
      <c r="G105" s="39">
        <f>G104*'Start Page'!$C$54</f>
        <v>89347.44</v>
      </c>
      <c r="H105" s="39">
        <f>H104*'Start Page'!$C$54</f>
        <v>92060.799999999988</v>
      </c>
      <c r="I105" s="39">
        <f>I104*'Start Page'!$C$54</f>
        <v>94763.760000000009</v>
      </c>
      <c r="J105" s="39">
        <f>J104*'Start Page'!$C$54</f>
        <v>97466.72</v>
      </c>
      <c r="K105" s="39">
        <f>K104*'Start Page'!$C$54</f>
        <v>99820.239999999976</v>
      </c>
      <c r="L105" s="39">
        <f>L104*'Start Page'!$C$54</f>
        <v>102172.72</v>
      </c>
      <c r="M105" s="39">
        <f>M104*'Start Page'!$C$54</f>
        <v>104511.16</v>
      </c>
    </row>
    <row r="106" spans="1:13" s="42" customFormat="1" x14ac:dyDescent="0.2">
      <c r="A106" s="22"/>
      <c r="B106" s="22"/>
      <c r="C106" s="23" t="s">
        <v>166</v>
      </c>
      <c r="D106" s="40">
        <f>((D98*80)+(D100*($B$14-80)))*'Start Page'!$C$54</f>
        <v>77511.199999999997</v>
      </c>
      <c r="E106" s="40">
        <f>((E98*80)+(E100*($B$14-80)))*'Start Page'!$C$54</f>
        <v>80090.400000000009</v>
      </c>
      <c r="F106" s="40">
        <f>((F98*80)+(F100*($B$14-80)))*'Start Page'!$C$54</f>
        <v>82669.599999999991</v>
      </c>
      <c r="G106" s="40">
        <f>((G98*80)+(G100*($B$14-80)))*'Start Page'!$C$54</f>
        <v>85248.8</v>
      </c>
      <c r="H106" s="40">
        <f>((H98*80)+(H100*($B$14-80)))*'Start Page'!$C$54</f>
        <v>87838.400000000009</v>
      </c>
      <c r="I106" s="40">
        <f>((I98*80)+(I100*($B$14-80)))*'Start Page'!$C$54</f>
        <v>90417.599999999991</v>
      </c>
      <c r="J106" s="40">
        <f>((J98*80)+(J100*($B$14-80)))*'Start Page'!$C$54</f>
        <v>92996.800000000003</v>
      </c>
      <c r="K106" s="40">
        <f>((K98*80)+(K100*($B$14-80)))*'Start Page'!$C$54</f>
        <v>95575.999999999985</v>
      </c>
      <c r="L106" s="40">
        <f>((L98*80)+(L100*($B$14-80)))*'Start Page'!$C$54</f>
        <v>98176.000000000015</v>
      </c>
      <c r="M106" s="41">
        <f>((M98*80)+(M100*($B$14-80)))*'Start Page'!$C$54</f>
        <v>100765.59999999999</v>
      </c>
    </row>
    <row r="107" spans="1:13" x14ac:dyDescent="0.2">
      <c r="A107" s="27"/>
      <c r="B107" s="27"/>
      <c r="C107" s="14" t="s">
        <v>30</v>
      </c>
      <c r="D107" s="37">
        <f>'GS Pay Scale'!B17</f>
        <v>67613</v>
      </c>
      <c r="E107" s="37">
        <f>'GS Pay Scale'!C17</f>
        <v>69867</v>
      </c>
      <c r="F107" s="37">
        <f>'GS Pay Scale'!D17</f>
        <v>72120</v>
      </c>
      <c r="G107" s="37">
        <f>'GS Pay Scale'!E17</f>
        <v>74373</v>
      </c>
      <c r="H107" s="37">
        <f>'GS Pay Scale'!F17</f>
        <v>76627</v>
      </c>
      <c r="I107" s="37">
        <f>'GS Pay Scale'!G17</f>
        <v>78880</v>
      </c>
      <c r="J107" s="37">
        <f>'GS Pay Scale'!H17</f>
        <v>81133</v>
      </c>
      <c r="K107" s="37">
        <f>'GS Pay Scale'!I17</f>
        <v>83387</v>
      </c>
      <c r="L107" s="37">
        <f>'GS Pay Scale'!J17</f>
        <v>85640</v>
      </c>
      <c r="M107" s="37">
        <f>'GS Pay Scale'!K17</f>
        <v>87893</v>
      </c>
    </row>
    <row r="108" spans="1:13" x14ac:dyDescent="0.2">
      <c r="A108" s="13"/>
      <c r="B108" s="13">
        <v>80</v>
      </c>
      <c r="C108" s="36" t="s">
        <v>52</v>
      </c>
      <c r="D108" s="37">
        <f t="shared" ref="D108:M108" si="63">D109*80</f>
        <v>2592</v>
      </c>
      <c r="E108" s="37">
        <f t="shared" si="63"/>
        <v>2678.3999999999996</v>
      </c>
      <c r="F108" s="37">
        <f t="shared" si="63"/>
        <v>2764.8</v>
      </c>
      <c r="G108" s="37">
        <f t="shared" si="63"/>
        <v>2851.2</v>
      </c>
      <c r="H108" s="37">
        <f t="shared" si="63"/>
        <v>2937.6</v>
      </c>
      <c r="I108" s="37">
        <f t="shared" si="63"/>
        <v>3024</v>
      </c>
      <c r="J108" s="37">
        <f t="shared" si="63"/>
        <v>3110.4</v>
      </c>
      <c r="K108" s="37">
        <f t="shared" si="63"/>
        <v>3196.8</v>
      </c>
      <c r="L108" s="37">
        <f t="shared" si="63"/>
        <v>3282.4</v>
      </c>
      <c r="M108" s="37">
        <f t="shared" si="63"/>
        <v>3368.8</v>
      </c>
    </row>
    <row r="109" spans="1:13" x14ac:dyDescent="0.2">
      <c r="A109" s="13"/>
      <c r="B109" s="13"/>
      <c r="C109" s="36" t="s">
        <v>20</v>
      </c>
      <c r="D109" s="38">
        <f>ROUND(D107/2087,2)</f>
        <v>32.4</v>
      </c>
      <c r="E109" s="38">
        <f t="shared" ref="E109:M109" si="64">ROUND(E107/2087,2)</f>
        <v>33.479999999999997</v>
      </c>
      <c r="F109" s="38">
        <f t="shared" si="64"/>
        <v>34.56</v>
      </c>
      <c r="G109" s="38">
        <f t="shared" si="64"/>
        <v>35.64</v>
      </c>
      <c r="H109" s="38">
        <f t="shared" si="64"/>
        <v>36.72</v>
      </c>
      <c r="I109" s="38">
        <f t="shared" si="64"/>
        <v>37.799999999999997</v>
      </c>
      <c r="J109" s="38">
        <f t="shared" si="64"/>
        <v>38.880000000000003</v>
      </c>
      <c r="K109" s="38">
        <f t="shared" si="64"/>
        <v>39.96</v>
      </c>
      <c r="L109" s="38">
        <f t="shared" si="64"/>
        <v>41.03</v>
      </c>
      <c r="M109" s="38">
        <f t="shared" si="64"/>
        <v>42.11</v>
      </c>
    </row>
    <row r="110" spans="1:13" x14ac:dyDescent="0.2">
      <c r="A110" s="13"/>
      <c r="B110" s="13">
        <v>26</v>
      </c>
      <c r="C110" s="16" t="s">
        <v>47</v>
      </c>
      <c r="D110" s="38">
        <f t="shared" ref="D110:M110" si="65">D111*26</f>
        <v>637.78</v>
      </c>
      <c r="E110" s="38">
        <f t="shared" si="65"/>
        <v>659.1</v>
      </c>
      <c r="F110" s="38">
        <f t="shared" si="65"/>
        <v>680.42000000000007</v>
      </c>
      <c r="G110" s="38">
        <f t="shared" si="65"/>
        <v>701.74</v>
      </c>
      <c r="H110" s="38">
        <f t="shared" si="65"/>
        <v>722.80000000000007</v>
      </c>
      <c r="I110" s="38">
        <f t="shared" si="65"/>
        <v>744.12</v>
      </c>
      <c r="J110" s="38">
        <f t="shared" si="65"/>
        <v>765.44</v>
      </c>
      <c r="K110" s="38">
        <f t="shared" si="65"/>
        <v>786.76</v>
      </c>
      <c r="L110" s="38">
        <f t="shared" si="65"/>
        <v>807.82</v>
      </c>
      <c r="M110" s="38">
        <f t="shared" si="65"/>
        <v>829.14</v>
      </c>
    </row>
    <row r="111" spans="1:13" x14ac:dyDescent="0.2">
      <c r="A111" s="13"/>
      <c r="B111" s="13"/>
      <c r="C111" s="16" t="s">
        <v>13</v>
      </c>
      <c r="D111" s="38">
        <f>ROUND(D107/2756,2)</f>
        <v>24.53</v>
      </c>
      <c r="E111" s="38">
        <f t="shared" ref="E111:M111" si="66">ROUND(E107/2756,2)</f>
        <v>25.35</v>
      </c>
      <c r="F111" s="38">
        <f t="shared" si="66"/>
        <v>26.17</v>
      </c>
      <c r="G111" s="38">
        <f t="shared" si="66"/>
        <v>26.99</v>
      </c>
      <c r="H111" s="38">
        <f t="shared" si="66"/>
        <v>27.8</v>
      </c>
      <c r="I111" s="38">
        <f t="shared" si="66"/>
        <v>28.62</v>
      </c>
      <c r="J111" s="38">
        <f t="shared" si="66"/>
        <v>29.44</v>
      </c>
      <c r="K111" s="38">
        <f t="shared" si="66"/>
        <v>30.26</v>
      </c>
      <c r="L111" s="38">
        <f t="shared" si="66"/>
        <v>31.07</v>
      </c>
      <c r="M111" s="38">
        <f t="shared" si="66"/>
        <v>31.89</v>
      </c>
    </row>
    <row r="112" spans="1:13" x14ac:dyDescent="0.2">
      <c r="A112" s="13" t="s">
        <v>26</v>
      </c>
      <c r="B112" s="19">
        <f>($G$3-53)*2</f>
        <v>14</v>
      </c>
      <c r="C112" s="16" t="s">
        <v>48</v>
      </c>
      <c r="D112" s="38">
        <f t="shared" ref="D112:M112" si="67">D113*$B$11</f>
        <v>515.19999999999993</v>
      </c>
      <c r="E112" s="38">
        <f t="shared" si="67"/>
        <v>516.6</v>
      </c>
      <c r="F112" s="38">
        <f t="shared" si="67"/>
        <v>516.6</v>
      </c>
      <c r="G112" s="38">
        <f t="shared" si="67"/>
        <v>516.6</v>
      </c>
      <c r="H112" s="38">
        <f t="shared" si="67"/>
        <v>516.6</v>
      </c>
      <c r="I112" s="38">
        <f t="shared" si="67"/>
        <v>516.6</v>
      </c>
      <c r="J112" s="38">
        <f t="shared" si="67"/>
        <v>516.6</v>
      </c>
      <c r="K112" s="38">
        <f t="shared" si="67"/>
        <v>516.6</v>
      </c>
      <c r="L112" s="38">
        <f t="shared" si="67"/>
        <v>516.6</v>
      </c>
      <c r="M112" s="38">
        <f t="shared" si="67"/>
        <v>516.6</v>
      </c>
    </row>
    <row r="113" spans="1:13" x14ac:dyDescent="0.2">
      <c r="A113" s="13"/>
      <c r="B113" s="13"/>
      <c r="C113" s="16" t="s">
        <v>14</v>
      </c>
      <c r="D113" s="17">
        <f>IF(ROUND(D111*1.5,2)&lt;$G$139,ROUND(D111*1.5,2),IF($G$139&lt;D111,D111,$G$139))</f>
        <v>36.799999999999997</v>
      </c>
      <c r="E113" s="17">
        <f t="shared" ref="E113:M113" si="68">IF(ROUND(E111*1.5,2)&lt;$G$139,ROUND(E111*1.5,2),IF($G$139&lt;E111,E111,$G$139))</f>
        <v>36.9</v>
      </c>
      <c r="F113" s="17">
        <f t="shared" si="68"/>
        <v>36.9</v>
      </c>
      <c r="G113" s="17">
        <f t="shared" si="68"/>
        <v>36.9</v>
      </c>
      <c r="H113" s="17">
        <f t="shared" si="68"/>
        <v>36.9</v>
      </c>
      <c r="I113" s="17">
        <f t="shared" si="68"/>
        <v>36.9</v>
      </c>
      <c r="J113" s="17">
        <f t="shared" si="68"/>
        <v>36.9</v>
      </c>
      <c r="K113" s="17">
        <f t="shared" si="68"/>
        <v>36.9</v>
      </c>
      <c r="L113" s="17">
        <f t="shared" si="68"/>
        <v>36.9</v>
      </c>
      <c r="M113" s="17">
        <f t="shared" si="68"/>
        <v>36.9</v>
      </c>
    </row>
    <row r="114" spans="1:13" s="75" customFormat="1" x14ac:dyDescent="0.2">
      <c r="A114" s="74"/>
      <c r="B114" s="74"/>
      <c r="C114" s="36" t="s">
        <v>73</v>
      </c>
      <c r="D114" s="17">
        <f>IF(VLOOKUP('Start Page'!$C$46,'Locality Rates'!$A$2:$C$49,3,FALSE)=1,(ROUND(D109*'Start Page'!$C$48,2)*80)+(ROUND(D111*'Start Page'!$C$48,2)*($B$14-80)),0)</f>
        <v>0</v>
      </c>
      <c r="E114" s="17">
        <f>IF(VLOOKUP('Start Page'!$C$46,'Locality Rates'!$A$2:$C$49,3,FALSE)=1,(ROUND(E109*'Start Page'!$C$48,2)*80)+(ROUND(E111*'Start Page'!$C$48,2)*($B$14-80)),0)</f>
        <v>0</v>
      </c>
      <c r="F114" s="17">
        <f>IF(VLOOKUP('Start Page'!$C$46,'Locality Rates'!$A$2:$C$49,3,FALSE)=1,(ROUND(F109*'Start Page'!$C$48,2)*80)+(ROUND(F111*'Start Page'!$C$48,2)*($B$14-80)),0)</f>
        <v>0</v>
      </c>
      <c r="G114" s="17">
        <f>IF(VLOOKUP('Start Page'!$C$46,'Locality Rates'!$A$2:$C$49,3,FALSE)=1,(ROUND(G109*'Start Page'!$C$48,2)*80)+(ROUND(G111*'Start Page'!$C$48,2)*($B$14-80)),0)</f>
        <v>0</v>
      </c>
      <c r="H114" s="17">
        <f>IF(VLOOKUP('Start Page'!$C$46,'Locality Rates'!$A$2:$C$49,3,FALSE)=1,(ROUND(H109*'Start Page'!$C$48,2)*80)+(ROUND(H111*'Start Page'!$C$48,2)*($B$14-80)),0)</f>
        <v>0</v>
      </c>
      <c r="I114" s="17">
        <f>IF(VLOOKUP('Start Page'!$C$46,'Locality Rates'!$A$2:$C$49,3,FALSE)=1,(ROUND(I109*'Start Page'!$C$48,2)*80)+(ROUND(I111*'Start Page'!$C$48,2)*($B$14-80)),0)</f>
        <v>0</v>
      </c>
      <c r="J114" s="17">
        <f>IF(VLOOKUP('Start Page'!$C$46,'Locality Rates'!$A$2:$C$49,3,FALSE)=1,(ROUND(J109*'Start Page'!$C$48,2)*80)+(ROUND(J111*'Start Page'!$C$48,2)*($B$14-80)),0)</f>
        <v>0</v>
      </c>
      <c r="K114" s="17">
        <f>IF(VLOOKUP('Start Page'!$C$46,'Locality Rates'!$A$2:$C$49,3,FALSE)=1,(ROUND(K109*'Start Page'!$C$48,2)*80)+(ROUND(K111*'Start Page'!$C$48,2)*($B$14-80)),0)</f>
        <v>0</v>
      </c>
      <c r="L114" s="17">
        <f>IF(VLOOKUP('Start Page'!$C$46,'Locality Rates'!$A$2:$C$49,3,FALSE)=1,(ROUND(L109*'Start Page'!$C$48,2)*80)+(ROUND(L111*'Start Page'!$C$48,2)*($B$14-80)),0)</f>
        <v>0</v>
      </c>
      <c r="M114" s="17">
        <f>IF(VLOOKUP('Start Page'!$C$46,'Locality Rates'!$A$2:$C$49,3,FALSE)=1,(ROUND(M109*'Start Page'!$C$48,2)*80)+(ROUND(M111*'Start Page'!$C$48,2)*($B$14-80)),0)</f>
        <v>0</v>
      </c>
    </row>
    <row r="115" spans="1:13" x14ac:dyDescent="0.2">
      <c r="A115" s="13"/>
      <c r="B115" s="13">
        <f>B108+B110+B112</f>
        <v>120</v>
      </c>
      <c r="C115" s="20" t="s">
        <v>17</v>
      </c>
      <c r="D115" s="39">
        <f t="shared" ref="D115:M115" si="69">D108+D110+D112+D114</f>
        <v>3744.9799999999996</v>
      </c>
      <c r="E115" s="39">
        <f t="shared" si="69"/>
        <v>3854.0999999999995</v>
      </c>
      <c r="F115" s="39">
        <f t="shared" si="69"/>
        <v>3961.82</v>
      </c>
      <c r="G115" s="39">
        <f t="shared" si="69"/>
        <v>4069.5399999999995</v>
      </c>
      <c r="H115" s="39">
        <f t="shared" si="69"/>
        <v>4177</v>
      </c>
      <c r="I115" s="39">
        <f t="shared" si="69"/>
        <v>4284.72</v>
      </c>
      <c r="J115" s="39">
        <f t="shared" si="69"/>
        <v>4392.4400000000005</v>
      </c>
      <c r="K115" s="39">
        <f t="shared" si="69"/>
        <v>4500.1600000000008</v>
      </c>
      <c r="L115" s="39">
        <f t="shared" si="69"/>
        <v>4606.8200000000006</v>
      </c>
      <c r="M115" s="39">
        <f t="shared" si="69"/>
        <v>4714.5400000000009</v>
      </c>
    </row>
    <row r="116" spans="1:13" x14ac:dyDescent="0.2">
      <c r="A116" s="13"/>
      <c r="B116" s="13"/>
      <c r="C116" s="20" t="s">
        <v>33</v>
      </c>
      <c r="D116" s="39">
        <f>D115*'Start Page'!$C$54</f>
        <v>97369.479999999981</v>
      </c>
      <c r="E116" s="39">
        <f>E115*'Start Page'!$C$54</f>
        <v>100206.59999999999</v>
      </c>
      <c r="F116" s="39">
        <f>F115*'Start Page'!$C$54</f>
        <v>103007.32</v>
      </c>
      <c r="G116" s="39">
        <f>G115*'Start Page'!$C$54</f>
        <v>105808.04</v>
      </c>
      <c r="H116" s="39">
        <f>H115*'Start Page'!$C$54</f>
        <v>108602</v>
      </c>
      <c r="I116" s="39">
        <f>I115*'Start Page'!$C$54</f>
        <v>111402.72</v>
      </c>
      <c r="J116" s="39">
        <f>J115*'Start Page'!$C$54</f>
        <v>114203.44000000002</v>
      </c>
      <c r="K116" s="39">
        <f>K115*'Start Page'!$C$54</f>
        <v>117004.16000000002</v>
      </c>
      <c r="L116" s="39">
        <f>L115*'Start Page'!$C$54</f>
        <v>119777.32000000002</v>
      </c>
      <c r="M116" s="39">
        <f>M115*'Start Page'!$C$54</f>
        <v>122578.04000000002</v>
      </c>
    </row>
    <row r="117" spans="1:13" s="42" customFormat="1" x14ac:dyDescent="0.2">
      <c r="A117" s="22"/>
      <c r="B117" s="22"/>
      <c r="C117" s="23" t="s">
        <v>166</v>
      </c>
      <c r="D117" s="40">
        <f>((D109*80)+(D111*($B$14-80)))*'Start Page'!$C$54</f>
        <v>92903.2</v>
      </c>
      <c r="E117" s="40">
        <f>((E109*80)+(E111*($B$14-80)))*'Start Page'!$C$54</f>
        <v>96002.4</v>
      </c>
      <c r="F117" s="40">
        <f>((F109*80)+(F111*($B$14-80)))*'Start Page'!$C$54</f>
        <v>99101.6</v>
      </c>
      <c r="G117" s="40">
        <f>((G109*80)+(G111*($B$14-80)))*'Start Page'!$C$54</f>
        <v>102200.79999999999</v>
      </c>
      <c r="H117" s="40">
        <f>((H109*80)+(H111*($B$14-80)))*'Start Page'!$C$54</f>
        <v>105289.59999999999</v>
      </c>
      <c r="I117" s="40">
        <f>((I109*80)+(I111*($B$14-80)))*'Start Page'!$C$54</f>
        <v>108388.8</v>
      </c>
      <c r="J117" s="40">
        <f>((J109*80)+(J111*($B$14-80)))*'Start Page'!$C$54</f>
        <v>111488</v>
      </c>
      <c r="K117" s="40">
        <f>((K109*80)+(K111*($B$14-80)))*'Start Page'!$C$54</f>
        <v>114587.20000000001</v>
      </c>
      <c r="L117" s="40">
        <f>((L109*80)+(L111*($B$14-80)))*'Start Page'!$C$54</f>
        <v>117655.2</v>
      </c>
      <c r="M117" s="41">
        <f>((M109*80)+(M111*($B$14-80)))*'Start Page'!$C$54</f>
        <v>120754.4</v>
      </c>
    </row>
    <row r="118" spans="1:13" x14ac:dyDescent="0.2">
      <c r="A118" s="27"/>
      <c r="B118" s="27"/>
      <c r="C118" s="14" t="s">
        <v>30</v>
      </c>
      <c r="D118" s="37">
        <f>'GS Pay Scale'!B18</f>
        <v>80402</v>
      </c>
      <c r="E118" s="37">
        <f>'GS Pay Scale'!C18</f>
        <v>83083</v>
      </c>
      <c r="F118" s="37">
        <f>'GS Pay Scale'!D18</f>
        <v>85763</v>
      </c>
      <c r="G118" s="37">
        <f>'GS Pay Scale'!E18</f>
        <v>88443</v>
      </c>
      <c r="H118" s="37">
        <f>'GS Pay Scale'!F18</f>
        <v>91123</v>
      </c>
      <c r="I118" s="37">
        <f>'GS Pay Scale'!G18</f>
        <v>93804</v>
      </c>
      <c r="J118" s="37">
        <f>'GS Pay Scale'!H18</f>
        <v>96484</v>
      </c>
      <c r="K118" s="37">
        <f>'GS Pay Scale'!I18</f>
        <v>99164</v>
      </c>
      <c r="L118" s="37">
        <f>'GS Pay Scale'!J18</f>
        <v>101844</v>
      </c>
      <c r="M118" s="37">
        <f>'GS Pay Scale'!K18</f>
        <v>104525</v>
      </c>
    </row>
    <row r="119" spans="1:13" x14ac:dyDescent="0.2">
      <c r="A119" s="13"/>
      <c r="B119" s="13">
        <v>80</v>
      </c>
      <c r="C119" s="36" t="s">
        <v>52</v>
      </c>
      <c r="D119" s="37">
        <f t="shared" ref="D119:M119" si="70">D120*80</f>
        <v>3082.4</v>
      </c>
      <c r="E119" s="37">
        <f t="shared" si="70"/>
        <v>3184.8</v>
      </c>
      <c r="F119" s="37">
        <f t="shared" si="70"/>
        <v>3287.2000000000003</v>
      </c>
      <c r="G119" s="37">
        <f t="shared" si="70"/>
        <v>3390.4</v>
      </c>
      <c r="H119" s="37">
        <f t="shared" si="70"/>
        <v>3492.7999999999997</v>
      </c>
      <c r="I119" s="37">
        <f t="shared" si="70"/>
        <v>3596</v>
      </c>
      <c r="J119" s="37">
        <f t="shared" si="70"/>
        <v>3698.3999999999996</v>
      </c>
      <c r="K119" s="37">
        <f t="shared" si="70"/>
        <v>3801.6000000000004</v>
      </c>
      <c r="L119" s="37">
        <f t="shared" si="70"/>
        <v>3904</v>
      </c>
      <c r="M119" s="37">
        <f t="shared" si="70"/>
        <v>4006.3999999999996</v>
      </c>
    </row>
    <row r="120" spans="1:13" x14ac:dyDescent="0.2">
      <c r="A120" s="13"/>
      <c r="B120" s="13"/>
      <c r="C120" s="36" t="s">
        <v>20</v>
      </c>
      <c r="D120" s="38">
        <f>ROUND(D118/2087,2)</f>
        <v>38.53</v>
      </c>
      <c r="E120" s="38">
        <f t="shared" ref="E120:M120" si="71">ROUND(E118/2087,2)</f>
        <v>39.81</v>
      </c>
      <c r="F120" s="38">
        <f t="shared" si="71"/>
        <v>41.09</v>
      </c>
      <c r="G120" s="38">
        <f t="shared" si="71"/>
        <v>42.38</v>
      </c>
      <c r="H120" s="38">
        <f t="shared" si="71"/>
        <v>43.66</v>
      </c>
      <c r="I120" s="38">
        <f t="shared" si="71"/>
        <v>44.95</v>
      </c>
      <c r="J120" s="38">
        <f t="shared" si="71"/>
        <v>46.23</v>
      </c>
      <c r="K120" s="38">
        <f t="shared" si="71"/>
        <v>47.52</v>
      </c>
      <c r="L120" s="38">
        <f t="shared" si="71"/>
        <v>48.8</v>
      </c>
      <c r="M120" s="38">
        <f t="shared" si="71"/>
        <v>50.08</v>
      </c>
    </row>
    <row r="121" spans="1:13" x14ac:dyDescent="0.2">
      <c r="A121" s="13"/>
      <c r="B121" s="13">
        <v>26</v>
      </c>
      <c r="C121" s="16" t="s">
        <v>47</v>
      </c>
      <c r="D121" s="38">
        <f t="shared" ref="D121:M121" si="72">D122*26</f>
        <v>758.42000000000007</v>
      </c>
      <c r="E121" s="38">
        <f t="shared" si="72"/>
        <v>783.9</v>
      </c>
      <c r="F121" s="38">
        <f t="shared" si="72"/>
        <v>809.12</v>
      </c>
      <c r="G121" s="38">
        <f t="shared" si="72"/>
        <v>834.34000000000015</v>
      </c>
      <c r="H121" s="38">
        <f t="shared" si="72"/>
        <v>859.56000000000006</v>
      </c>
      <c r="I121" s="38">
        <f t="shared" si="72"/>
        <v>885.04</v>
      </c>
      <c r="J121" s="38">
        <f t="shared" si="72"/>
        <v>910.26</v>
      </c>
      <c r="K121" s="38">
        <f t="shared" si="72"/>
        <v>935.4799999999999</v>
      </c>
      <c r="L121" s="38">
        <f t="shared" si="72"/>
        <v>960.7</v>
      </c>
      <c r="M121" s="38">
        <f t="shared" si="72"/>
        <v>986.18</v>
      </c>
    </row>
    <row r="122" spans="1:13" x14ac:dyDescent="0.2">
      <c r="A122" s="13"/>
      <c r="B122" s="13"/>
      <c r="C122" s="16" t="s">
        <v>13</v>
      </c>
      <c r="D122" s="38">
        <f>ROUND(D118/2756,2)</f>
        <v>29.17</v>
      </c>
      <c r="E122" s="38">
        <f t="shared" ref="E122:M122" si="73">ROUND(E118/2756,2)</f>
        <v>30.15</v>
      </c>
      <c r="F122" s="38">
        <f t="shared" si="73"/>
        <v>31.12</v>
      </c>
      <c r="G122" s="38">
        <f t="shared" si="73"/>
        <v>32.090000000000003</v>
      </c>
      <c r="H122" s="38">
        <f t="shared" si="73"/>
        <v>33.06</v>
      </c>
      <c r="I122" s="38">
        <f t="shared" si="73"/>
        <v>34.04</v>
      </c>
      <c r="J122" s="38">
        <f t="shared" si="73"/>
        <v>35.01</v>
      </c>
      <c r="K122" s="38">
        <f t="shared" si="73"/>
        <v>35.979999999999997</v>
      </c>
      <c r="L122" s="38">
        <f t="shared" si="73"/>
        <v>36.950000000000003</v>
      </c>
      <c r="M122" s="38">
        <f t="shared" si="73"/>
        <v>37.93</v>
      </c>
    </row>
    <row r="123" spans="1:13" x14ac:dyDescent="0.2">
      <c r="A123" s="13" t="s">
        <v>31</v>
      </c>
      <c r="B123" s="19">
        <f>($G$3-53)*2</f>
        <v>14</v>
      </c>
      <c r="C123" s="16" t="s">
        <v>48</v>
      </c>
      <c r="D123" s="38">
        <f t="shared" ref="D123:M123" si="74">D124*$B$11</f>
        <v>516.6</v>
      </c>
      <c r="E123" s="38">
        <f t="shared" si="74"/>
        <v>516.6</v>
      </c>
      <c r="F123" s="38">
        <f t="shared" si="74"/>
        <v>516.6</v>
      </c>
      <c r="G123" s="38">
        <f t="shared" si="74"/>
        <v>516.6</v>
      </c>
      <c r="H123" s="38">
        <f t="shared" si="74"/>
        <v>516.6</v>
      </c>
      <c r="I123" s="38">
        <f t="shared" si="74"/>
        <v>516.6</v>
      </c>
      <c r="J123" s="38">
        <f t="shared" si="74"/>
        <v>516.6</v>
      </c>
      <c r="K123" s="38">
        <f t="shared" si="74"/>
        <v>516.6</v>
      </c>
      <c r="L123" s="38">
        <f t="shared" si="74"/>
        <v>517.30000000000007</v>
      </c>
      <c r="M123" s="38">
        <f t="shared" si="74"/>
        <v>531.02</v>
      </c>
    </row>
    <row r="124" spans="1:13" x14ac:dyDescent="0.2">
      <c r="A124" s="13"/>
      <c r="B124" s="13"/>
      <c r="C124" s="16" t="s">
        <v>14</v>
      </c>
      <c r="D124" s="17">
        <f>IF(ROUND(D122*1.5,2)&lt;$G$139,ROUND(D122*1.5,2),IF($G$139&lt;D122,D122,$G$139))</f>
        <v>36.9</v>
      </c>
      <c r="E124" s="17">
        <f t="shared" ref="E124:M124" si="75">IF(ROUND(E122*1.5,2)&lt;$G$139,ROUND(E122*1.5,2),IF($G$139&lt;E122,E122,$G$139))</f>
        <v>36.9</v>
      </c>
      <c r="F124" s="17">
        <f t="shared" si="75"/>
        <v>36.9</v>
      </c>
      <c r="G124" s="17">
        <f t="shared" si="75"/>
        <v>36.9</v>
      </c>
      <c r="H124" s="17">
        <f t="shared" si="75"/>
        <v>36.9</v>
      </c>
      <c r="I124" s="17">
        <f t="shared" si="75"/>
        <v>36.9</v>
      </c>
      <c r="J124" s="17">
        <f t="shared" si="75"/>
        <v>36.9</v>
      </c>
      <c r="K124" s="17">
        <f t="shared" si="75"/>
        <v>36.9</v>
      </c>
      <c r="L124" s="17">
        <f t="shared" si="75"/>
        <v>36.950000000000003</v>
      </c>
      <c r="M124" s="17">
        <f t="shared" si="75"/>
        <v>37.93</v>
      </c>
    </row>
    <row r="125" spans="1:13" s="75" customFormat="1" x14ac:dyDescent="0.2">
      <c r="A125" s="74"/>
      <c r="B125" s="74"/>
      <c r="C125" s="36" t="s">
        <v>73</v>
      </c>
      <c r="D125" s="17">
        <f>IF(VLOOKUP('Start Page'!$C$46,'Locality Rates'!$A$2:$C$49,3,FALSE)=1,(ROUND(D120*'Start Page'!$C$48,2)*80)+(ROUND(D122*'Start Page'!$C$48,2)*($B$14-80)),0)</f>
        <v>0</v>
      </c>
      <c r="E125" s="17">
        <f>IF(VLOOKUP('Start Page'!$C$46,'Locality Rates'!$A$2:$C$49,3,FALSE)=1,(ROUND(E120*'Start Page'!$C$48,2)*80)+(ROUND(E122*'Start Page'!$C$48,2)*($B$14-80)),0)</f>
        <v>0</v>
      </c>
      <c r="F125" s="17">
        <f>IF(VLOOKUP('Start Page'!$C$46,'Locality Rates'!$A$2:$C$49,3,FALSE)=1,(ROUND(F120*'Start Page'!$C$48,2)*80)+(ROUND(F122*'Start Page'!$C$48,2)*($B$14-80)),0)</f>
        <v>0</v>
      </c>
      <c r="G125" s="17">
        <f>IF(VLOOKUP('Start Page'!$C$46,'Locality Rates'!$A$2:$C$49,3,FALSE)=1,(ROUND(G120*'Start Page'!$C$48,2)*80)+(ROUND(G122*'Start Page'!$C$48,2)*($B$14-80)),0)</f>
        <v>0</v>
      </c>
      <c r="H125" s="17">
        <f>IF(VLOOKUP('Start Page'!$C$46,'Locality Rates'!$A$2:$C$49,3,FALSE)=1,(ROUND(H120*'Start Page'!$C$48,2)*80)+(ROUND(H122*'Start Page'!$C$48,2)*($B$14-80)),0)</f>
        <v>0</v>
      </c>
      <c r="I125" s="17">
        <f>IF(VLOOKUP('Start Page'!$C$46,'Locality Rates'!$A$2:$C$49,3,FALSE)=1,(ROUND(I120*'Start Page'!$C$48,2)*80)+(ROUND(I122*'Start Page'!$C$48,2)*($B$14-80)),0)</f>
        <v>0</v>
      </c>
      <c r="J125" s="17">
        <f>IF(VLOOKUP('Start Page'!$C$46,'Locality Rates'!$A$2:$C$49,3,FALSE)=1,(ROUND(J120*'Start Page'!$C$48,2)*80)+(ROUND(J122*'Start Page'!$C$48,2)*($B$14-80)),0)</f>
        <v>0</v>
      </c>
      <c r="K125" s="17">
        <f>IF(VLOOKUP('Start Page'!$C$46,'Locality Rates'!$A$2:$C$49,3,FALSE)=1,(ROUND(K120*'Start Page'!$C$48,2)*80)+(ROUND(K122*'Start Page'!$C$48,2)*($B$14-80)),0)</f>
        <v>0</v>
      </c>
      <c r="L125" s="17">
        <f>IF(VLOOKUP('Start Page'!$C$46,'Locality Rates'!$A$2:$C$49,3,FALSE)=1,(ROUND(L120*'Start Page'!$C$48,2)*80)+(ROUND(L122*'Start Page'!$C$48,2)*($B$14-80)),0)</f>
        <v>0</v>
      </c>
      <c r="M125" s="17">
        <f>IF(VLOOKUP('Start Page'!$C$46,'Locality Rates'!$A$2:$C$49,3,FALSE)=1,(ROUND(M120*'Start Page'!$C$48,2)*80)+(ROUND(M122*'Start Page'!$C$48,2)*($B$14-80)),0)</f>
        <v>0</v>
      </c>
    </row>
    <row r="126" spans="1:13" x14ac:dyDescent="0.2">
      <c r="A126" s="13"/>
      <c r="B126" s="13">
        <f>B119+B121+B123</f>
        <v>120</v>
      </c>
      <c r="C126" s="20" t="s">
        <v>17</v>
      </c>
      <c r="D126" s="39">
        <f t="shared" ref="D126:M126" si="76">D119+D121+D123+D125</f>
        <v>4357.42</v>
      </c>
      <c r="E126" s="39">
        <f t="shared" si="76"/>
        <v>4485.3</v>
      </c>
      <c r="F126" s="39">
        <f t="shared" si="76"/>
        <v>4612.920000000001</v>
      </c>
      <c r="G126" s="39">
        <f t="shared" si="76"/>
        <v>4741.34</v>
      </c>
      <c r="H126" s="39">
        <f t="shared" si="76"/>
        <v>4868.96</v>
      </c>
      <c r="I126" s="39">
        <f t="shared" si="76"/>
        <v>4997.6400000000003</v>
      </c>
      <c r="J126" s="39">
        <f t="shared" si="76"/>
        <v>5125.26</v>
      </c>
      <c r="K126" s="39">
        <f t="shared" si="76"/>
        <v>5253.68</v>
      </c>
      <c r="L126" s="39">
        <f t="shared" si="76"/>
        <v>5382</v>
      </c>
      <c r="M126" s="39">
        <f t="shared" si="76"/>
        <v>5523.6</v>
      </c>
    </row>
    <row r="127" spans="1:13" x14ac:dyDescent="0.2">
      <c r="A127" s="13"/>
      <c r="B127" s="13"/>
      <c r="C127" s="20" t="s">
        <v>33</v>
      </c>
      <c r="D127" s="39">
        <f>D126*'Start Page'!$C$54</f>
        <v>113292.92</v>
      </c>
      <c r="E127" s="39">
        <f>E126*'Start Page'!$C$54</f>
        <v>116617.8</v>
      </c>
      <c r="F127" s="39">
        <f>F126*'Start Page'!$C$54</f>
        <v>119935.92000000003</v>
      </c>
      <c r="G127" s="39">
        <f>G126*'Start Page'!$C$54</f>
        <v>123274.84</v>
      </c>
      <c r="H127" s="39">
        <f>H126*'Start Page'!$C$54</f>
        <v>126592.96000000001</v>
      </c>
      <c r="I127" s="39">
        <f>I126*'Start Page'!$C$54</f>
        <v>129938.64000000001</v>
      </c>
      <c r="J127" s="39">
        <f>J126*'Start Page'!$C$54</f>
        <v>133256.76</v>
      </c>
      <c r="K127" s="39">
        <f>K126*'Start Page'!$C$54</f>
        <v>136595.68</v>
      </c>
      <c r="L127" s="39">
        <f>L126*'Start Page'!$C$54</f>
        <v>139932</v>
      </c>
      <c r="M127" s="39">
        <f>M126*'Start Page'!$C$54</f>
        <v>143613.6</v>
      </c>
    </row>
    <row r="128" spans="1:13" s="42" customFormat="1" x14ac:dyDescent="0.2">
      <c r="A128" s="22"/>
      <c r="B128" s="22"/>
      <c r="C128" s="23" t="s">
        <v>166</v>
      </c>
      <c r="D128" s="40">
        <f>((D120*80)+(D122*($B$14-80)))*'Start Page'!$C$54</f>
        <v>110479.20000000001</v>
      </c>
      <c r="E128" s="40">
        <f>((E120*80)+(E122*($B$14-80)))*'Start Page'!$C$54</f>
        <v>114160.8</v>
      </c>
      <c r="F128" s="40">
        <f>((F120*80)+(F122*($B$14-80)))*'Start Page'!$C$54</f>
        <v>117832</v>
      </c>
      <c r="G128" s="40">
        <f>((G120*80)+(G122*($B$14-80)))*'Start Page'!$C$54</f>
        <v>121524</v>
      </c>
      <c r="H128" s="40">
        <f>((H120*80)+(H122*($B$14-80)))*'Start Page'!$C$54</f>
        <v>125195.2</v>
      </c>
      <c r="I128" s="40">
        <f>((I120*80)+(I122*($B$14-80)))*'Start Page'!$C$54</f>
        <v>128897.60000000001</v>
      </c>
      <c r="J128" s="40">
        <f>((J120*80)+(J122*($B$14-80)))*'Start Page'!$C$54</f>
        <v>132568.79999999999</v>
      </c>
      <c r="K128" s="40">
        <f>((K120*80)+(K122*($B$14-80)))*'Start Page'!$C$54</f>
        <v>136260.80000000002</v>
      </c>
      <c r="L128" s="40">
        <f>((L120*80)+(L122*($B$14-80)))*'Start Page'!$C$54</f>
        <v>139932</v>
      </c>
      <c r="M128" s="41">
        <f>((M120*80)+(M122*($B$14-80)))*'Start Page'!$C$54</f>
        <v>143613.59999999998</v>
      </c>
    </row>
    <row r="129" spans="1:13" x14ac:dyDescent="0.2">
      <c r="A129" s="7"/>
      <c r="B129" s="7"/>
      <c r="C129" s="7"/>
      <c r="D129" s="7"/>
      <c r="E129" s="7"/>
      <c r="F129" s="7"/>
      <c r="G129" s="7"/>
      <c r="H129" s="7"/>
      <c r="I129" s="7"/>
      <c r="J129" s="7"/>
      <c r="K129" s="7"/>
      <c r="L129" s="7"/>
      <c r="M129" s="29"/>
    </row>
    <row r="130" spans="1:13" x14ac:dyDescent="0.2">
      <c r="A130" s="7"/>
      <c r="B130" s="7"/>
      <c r="C130" s="7"/>
      <c r="D130" s="7"/>
      <c r="E130" s="7"/>
      <c r="F130" s="7"/>
      <c r="G130" s="7"/>
      <c r="H130" s="7"/>
      <c r="I130" s="7"/>
      <c r="J130" s="7"/>
      <c r="K130" s="7"/>
      <c r="L130" s="7"/>
      <c r="M130" s="7"/>
    </row>
    <row r="131" spans="1:13" x14ac:dyDescent="0.2">
      <c r="A131" s="30" t="s">
        <v>170</v>
      </c>
      <c r="B131" s="30"/>
      <c r="C131" s="7"/>
      <c r="D131" s="7"/>
      <c r="E131" s="7"/>
      <c r="F131" s="7"/>
      <c r="G131" s="7"/>
      <c r="H131" s="7"/>
      <c r="I131" s="7"/>
      <c r="J131" s="7"/>
      <c r="K131" s="7"/>
      <c r="L131" s="7"/>
      <c r="M131" s="7"/>
    </row>
    <row r="132" spans="1:13" x14ac:dyDescent="0.2">
      <c r="A132" s="30" t="s">
        <v>167</v>
      </c>
      <c r="B132" s="31"/>
      <c r="C132" s="7"/>
      <c r="D132" s="7"/>
      <c r="E132" s="7"/>
      <c r="F132" s="7"/>
      <c r="G132" s="7"/>
      <c r="H132" s="7"/>
      <c r="I132" s="7"/>
      <c r="J132" s="7"/>
      <c r="K132" s="7"/>
      <c r="L132" s="7"/>
      <c r="M132" s="7"/>
    </row>
    <row r="133" spans="1:13" x14ac:dyDescent="0.2">
      <c r="A133" s="30"/>
      <c r="B133" s="31"/>
      <c r="C133" s="7"/>
      <c r="D133" s="7"/>
      <c r="E133" s="7"/>
      <c r="F133" s="7"/>
      <c r="G133" s="7"/>
      <c r="H133" s="7"/>
      <c r="I133" s="7"/>
      <c r="J133" s="7"/>
      <c r="K133" s="7"/>
      <c r="L133" s="7"/>
      <c r="M133" s="7"/>
    </row>
    <row r="134" spans="1:13" x14ac:dyDescent="0.2">
      <c r="A134" s="30" t="s">
        <v>168</v>
      </c>
      <c r="E134" s="45"/>
      <c r="G134" s="47"/>
    </row>
    <row r="135" spans="1:13" x14ac:dyDescent="0.2">
      <c r="A135" s="30" t="s">
        <v>169</v>
      </c>
      <c r="E135" s="45"/>
      <c r="G135" s="47"/>
    </row>
    <row r="136" spans="1:13" x14ac:dyDescent="0.2">
      <c r="A136" s="31" t="s">
        <v>19</v>
      </c>
      <c r="B136" s="31"/>
      <c r="C136" s="7"/>
      <c r="D136" s="7"/>
      <c r="E136" s="7"/>
      <c r="F136" s="7"/>
      <c r="G136" s="7"/>
      <c r="H136" s="7"/>
      <c r="I136" s="7"/>
      <c r="J136" s="7"/>
      <c r="K136" s="7"/>
      <c r="L136" s="7"/>
      <c r="M136" s="7"/>
    </row>
    <row r="137" spans="1:13" x14ac:dyDescent="0.2">
      <c r="A137" s="30" t="s">
        <v>98</v>
      </c>
      <c r="B137" s="31"/>
      <c r="C137" s="7"/>
      <c r="D137" s="7"/>
      <c r="E137" s="7"/>
      <c r="F137" s="7"/>
      <c r="G137" s="7"/>
      <c r="H137" s="7"/>
      <c r="I137" s="7"/>
      <c r="J137" s="7"/>
      <c r="K137" s="7"/>
      <c r="L137" s="7"/>
      <c r="M137" s="7"/>
    </row>
    <row r="138" spans="1:13" x14ac:dyDescent="0.2">
      <c r="A138" s="30"/>
      <c r="B138" s="31"/>
      <c r="C138" s="7"/>
      <c r="D138" s="7"/>
      <c r="E138" s="7"/>
      <c r="F138" s="7"/>
      <c r="G138" s="7"/>
      <c r="H138" s="7"/>
      <c r="I138" s="7"/>
      <c r="J138" s="7"/>
      <c r="K138" s="7"/>
      <c r="L138" s="7"/>
      <c r="M138" s="7"/>
    </row>
    <row r="139" spans="1:13" x14ac:dyDescent="0.2">
      <c r="A139" s="30" t="s">
        <v>32</v>
      </c>
      <c r="B139" s="30"/>
      <c r="C139" s="7"/>
      <c r="D139" s="7"/>
      <c r="E139" s="7"/>
      <c r="F139" s="7"/>
      <c r="G139" s="32">
        <f>ROUND(ROUND(D84/2087,2)*1.5,2)</f>
        <v>36.9</v>
      </c>
      <c r="I139" s="7"/>
      <c r="J139" s="7"/>
      <c r="K139" s="7"/>
      <c r="L139" s="7"/>
      <c r="M139" s="7"/>
    </row>
    <row r="140" spans="1:13" x14ac:dyDescent="0.2">
      <c r="A140" s="31"/>
      <c r="B140" s="31"/>
      <c r="C140" s="7"/>
      <c r="D140" s="7"/>
      <c r="E140" s="7"/>
      <c r="F140" s="7"/>
      <c r="G140" s="7"/>
      <c r="H140" s="7"/>
      <c r="I140" s="7"/>
      <c r="J140" s="7"/>
      <c r="K140" s="7"/>
      <c r="L140" s="7"/>
      <c r="M140" s="7"/>
    </row>
    <row r="141" spans="1:13" x14ac:dyDescent="0.2">
      <c r="A141" s="30" t="s">
        <v>41</v>
      </c>
      <c r="B141" s="30"/>
      <c r="C141" s="7"/>
      <c r="D141" s="7"/>
      <c r="E141" s="7"/>
      <c r="F141" s="7"/>
      <c r="G141" s="7"/>
      <c r="H141" s="7"/>
      <c r="I141" s="7"/>
      <c r="J141" s="7"/>
      <c r="K141" s="7"/>
      <c r="L141" s="7"/>
      <c r="M141" s="7"/>
    </row>
  </sheetData>
  <sheetProtection password="CCE4" sheet="1" objects="1" scenarios="1"/>
  <phoneticPr fontId="0" type="noConversion"/>
  <printOptions horizontalCentered="1" verticalCentered="1"/>
  <pageMargins left="0.5" right="0.5" top="0.5" bottom="0.5" header="0.5" footer="0.5"/>
  <pageSetup scale="75" fitToHeight="2" orientation="landscape" horizontalDpi="300" verticalDpi="300" r:id="rId1"/>
  <headerFooter alignWithMargins="0"/>
  <rowBreaks count="2" manualBreakCount="2">
    <brk id="49" max="12" man="1"/>
    <brk id="94" max="12" man="1"/>
  </rowBreaks>
  <legacy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38</vt:i4>
      </vt:variant>
    </vt:vector>
  </HeadingPairs>
  <TitlesOfParts>
    <vt:vector size="46" baseType="lpstr">
      <vt:lpstr>Start Page</vt:lpstr>
      <vt:lpstr>GS Pay Calculator</vt:lpstr>
      <vt:lpstr>GS Pay - No Locality</vt:lpstr>
      <vt:lpstr>Locality Rates</vt:lpstr>
      <vt:lpstr>Special Rates</vt:lpstr>
      <vt:lpstr>GS Pay Scale</vt:lpstr>
      <vt:lpstr>Shift Firefighters</vt:lpstr>
      <vt:lpstr>Fire Chiefs, Fire Inspectors</vt:lpstr>
      <vt:lpstr>Inspectors</vt:lpstr>
      <vt:lpstr>Locality</vt:lpstr>
      <vt:lpstr>Payperiods</vt:lpstr>
      <vt:lpstr>'Fire Chiefs, Fire Inspectors'!Print_Area</vt:lpstr>
      <vt:lpstr>'Locality Rates'!Print_Area</vt:lpstr>
      <vt:lpstr>Shift</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2008-12-20T15:18:45Z</cp:lastPrinted>
  <dcterms:created xsi:type="dcterms:W3CDTF">1999-02-27T03:27:03Z</dcterms:created>
  <dcterms:modified xsi:type="dcterms:W3CDTF">2019-09-25T23:20:09Z</dcterms:modified>
</cp:coreProperties>
</file>