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tony_upzghcg\Documents\Money &amp; Taxes\Pay Info\Pay Program\Older Files\"/>
    </mc:Choice>
  </mc:AlternateContent>
  <xr:revisionPtr revIDLastSave="0" documentId="13_ncr:1_{46DE2E6E-1934-44B4-A1EB-A43E9D19F6CD}" xr6:coauthVersionLast="44" xr6:coauthVersionMax="44" xr10:uidLastSave="{00000000-0000-0000-0000-000000000000}"/>
  <bookViews>
    <workbookView xWindow="-120" yWindow="-120" windowWidth="20730" windowHeight="11160"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Rates'!$A$2:$A$45</definedName>
    <definedName name="Locality2005">'[2]Locality Rates'!$A$2:$A$52</definedName>
    <definedName name="Payperiods">'GS Pay Calculator'!$A$36:$A$37</definedName>
    <definedName name="Post">'GS Pay Calculator'!$A$39:$A$40</definedName>
    <definedName name="_xlnm.Print_Area" localSheetId="7">'Chief, Training, Inspectors'!$A$1:$M$151</definedName>
    <definedName name="_xlnm.Print_Area" localSheetId="3">'Locality Rates'!$A$1:$C$49</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5" l="1"/>
  <c r="E45" i="28"/>
  <c r="C45" i="28" s="1"/>
  <c r="E44" i="28"/>
  <c r="C44" i="28" s="1"/>
  <c r="A47" i="11"/>
  <c r="A6" i="11"/>
  <c r="B2" i="26"/>
  <c r="A54" i="11" s="1"/>
  <c r="E17" i="28"/>
  <c r="C17" i="28" s="1"/>
  <c r="E18" i="28"/>
  <c r="C18" i="28" s="1"/>
  <c r="E4" i="28"/>
  <c r="C4" i="28" s="1"/>
  <c r="E3" i="28"/>
  <c r="C3" i="28" s="1"/>
  <c r="E43" i="28"/>
  <c r="E42" i="28"/>
  <c r="E41" i="28"/>
  <c r="C41" i="28" s="1"/>
  <c r="E40" i="28"/>
  <c r="E39" i="28"/>
  <c r="E38" i="28"/>
  <c r="E37" i="28"/>
  <c r="C37" i="28" s="1"/>
  <c r="E36" i="28"/>
  <c r="E35" i="28"/>
  <c r="C35" i="28" s="1"/>
  <c r="E34" i="28"/>
  <c r="C34" i="28" s="1"/>
  <c r="E33" i="28"/>
  <c r="C33" i="28" s="1"/>
  <c r="E32" i="28"/>
  <c r="E31" i="28"/>
  <c r="C31" i="28" s="1"/>
  <c r="E30" i="28"/>
  <c r="C30" i="28" s="1"/>
  <c r="E29" i="28"/>
  <c r="E28" i="28"/>
  <c r="E27" i="28"/>
  <c r="C27" i="28" s="1"/>
  <c r="E26" i="28"/>
  <c r="E25" i="28"/>
  <c r="C25" i="28" s="1"/>
  <c r="E24" i="28"/>
  <c r="E23" i="28"/>
  <c r="C23" i="28" s="1"/>
  <c r="E22" i="28"/>
  <c r="C22" i="28" s="1"/>
  <c r="E21" i="28"/>
  <c r="C21" i="28" s="1"/>
  <c r="E20" i="28"/>
  <c r="E19" i="28"/>
  <c r="C19" i="28" s="1"/>
  <c r="E16" i="28"/>
  <c r="E15" i="28"/>
  <c r="C15" i="28" s="1"/>
  <c r="E14" i="28"/>
  <c r="E13" i="28"/>
  <c r="C13" i="28" s="1"/>
  <c r="E12" i="28"/>
  <c r="C12" i="28" s="1"/>
  <c r="E11" i="28"/>
  <c r="C11" i="28" s="1"/>
  <c r="E10" i="28"/>
  <c r="E9" i="28"/>
  <c r="C9" i="28" s="1"/>
  <c r="E8" i="28"/>
  <c r="C8" i="28" s="1"/>
  <c r="E7" i="28"/>
  <c r="C7" i="28" s="1"/>
  <c r="E6" i="28"/>
  <c r="C6" i="28" s="1"/>
  <c r="E5" i="28"/>
  <c r="C5" i="28" s="1"/>
  <c r="E2" i="28"/>
  <c r="F33" i="11" s="1"/>
  <c r="G4" i="7" s="1"/>
  <c r="C29" i="28"/>
  <c r="C36" i="28"/>
  <c r="C32" i="28"/>
  <c r="C28" i="28"/>
  <c r="C26" i="28"/>
  <c r="C24" i="28"/>
  <c r="C20" i="28"/>
  <c r="C16" i="28"/>
  <c r="C14" i="28"/>
  <c r="C10" i="28"/>
  <c r="A2" i="7"/>
  <c r="K17" i="26"/>
  <c r="D14" i="26" s="1"/>
  <c r="F14" i="26" s="1"/>
  <c r="K18" i="26"/>
  <c r="K19" i="26"/>
  <c r="K20" i="26"/>
  <c r="K21" i="26"/>
  <c r="K22" i="26"/>
  <c r="K23" i="26"/>
  <c r="K24" i="26"/>
  <c r="F15" i="25"/>
  <c r="C33" i="11"/>
  <c r="D20" i="25" s="1"/>
  <c r="D22" i="25" s="1"/>
  <c r="F25" i="25"/>
  <c r="F28" i="25"/>
  <c r="D10" i="26"/>
  <c r="F10" i="26" s="1"/>
  <c r="B23" i="25"/>
  <c r="B26" i="25" s="1"/>
  <c r="E12" i="26"/>
  <c r="G12" i="26" s="1"/>
  <c r="I12" i="26" s="1"/>
  <c r="K12" i="26" s="1"/>
  <c r="C26" i="26" s="1"/>
  <c r="E26" i="26" s="1"/>
  <c r="G26" i="26" s="1"/>
  <c r="I26" i="26" s="1"/>
  <c r="E9" i="26"/>
  <c r="G9" i="26" s="1"/>
  <c r="I9" i="26" s="1"/>
  <c r="K9" i="26" s="1"/>
  <c r="C23" i="26" s="1"/>
  <c r="E23" i="26" s="1"/>
  <c r="G23" i="26" s="1"/>
  <c r="I23" i="26" s="1"/>
  <c r="D8" i="26"/>
  <c r="F8" i="26" s="1"/>
  <c r="D6" i="26"/>
  <c r="E3" i="26"/>
  <c r="G3" i="26" s="1"/>
  <c r="I3" i="26" s="1"/>
  <c r="K3" i="26" s="1"/>
  <c r="C17" i="26" s="1"/>
  <c r="E17" i="26" s="1"/>
  <c r="G17" i="26" s="1"/>
  <c r="I17" i="26" s="1"/>
  <c r="G3" i="4"/>
  <c r="B45" i="4" s="1"/>
  <c r="B48" i="4" s="1"/>
  <c r="H2" i="4"/>
  <c r="G3" i="1"/>
  <c r="B10" i="1" s="1"/>
  <c r="B13" i="1" s="1"/>
  <c r="H2" i="1"/>
  <c r="J17" i="26"/>
  <c r="J18" i="26" s="1"/>
  <c r="J19" i="26" s="1"/>
  <c r="J20" i="26" s="1"/>
  <c r="J21" i="26" s="1"/>
  <c r="J22" i="26" s="1"/>
  <c r="J23" i="26" s="1"/>
  <c r="J24" i="26" s="1"/>
  <c r="B110" i="1"/>
  <c r="B113" i="1" s="1"/>
  <c r="C43" i="28"/>
  <c r="C42" i="28"/>
  <c r="C40" i="28"/>
  <c r="C39" i="28"/>
  <c r="C38" i="28"/>
  <c r="D1" i="7"/>
  <c r="E5" i="7" s="1"/>
  <c r="E1" i="1"/>
  <c r="F4" i="1" s="1"/>
  <c r="E1" i="4"/>
  <c r="F4" i="4" s="1"/>
  <c r="D3" i="26"/>
  <c r="F3" i="26"/>
  <c r="H3" i="26" s="1"/>
  <c r="J3" i="26" s="1"/>
  <c r="B17" i="26" s="1"/>
  <c r="D17" i="26" s="1"/>
  <c r="F17" i="26" s="1"/>
  <c r="H17" i="26" s="1"/>
  <c r="B4" i="27" s="1"/>
  <c r="E14" i="26"/>
  <c r="G14" i="26" s="1"/>
  <c r="I14" i="26" s="1"/>
  <c r="K14" i="26" s="1"/>
  <c r="C28" i="26" s="1"/>
  <c r="E28" i="26" s="1"/>
  <c r="G28" i="26" s="1"/>
  <c r="I28" i="26" s="1"/>
  <c r="D12" i="26"/>
  <c r="F12" i="26"/>
  <c r="H12" i="26" s="1"/>
  <c r="E11" i="26"/>
  <c r="G11" i="26" s="1"/>
  <c r="E10" i="26"/>
  <c r="G10" i="26" s="1"/>
  <c r="I10" i="26" s="1"/>
  <c r="D9" i="26"/>
  <c r="F9" i="26" s="1"/>
  <c r="E8" i="26"/>
  <c r="G8" i="26" s="1"/>
  <c r="I8" i="26"/>
  <c r="K8" i="26" s="1"/>
  <c r="C22" i="26" s="1"/>
  <c r="E22" i="26" s="1"/>
  <c r="G22" i="26" s="1"/>
  <c r="I22" i="26" s="1"/>
  <c r="D7" i="26"/>
  <c r="F7" i="26" s="1"/>
  <c r="E6" i="26"/>
  <c r="G6" i="26"/>
  <c r="I6" i="26" s="1"/>
  <c r="K6" i="26" s="1"/>
  <c r="C20" i="26" s="1"/>
  <c r="E20" i="26" s="1"/>
  <c r="G20" i="26" s="1"/>
  <c r="I20" i="26" s="1"/>
  <c r="D5" i="26"/>
  <c r="F5" i="26" s="1"/>
  <c r="H5" i="26" s="1"/>
  <c r="J5" i="26" s="1"/>
  <c r="B19" i="26" s="1"/>
  <c r="D19" i="26" s="1"/>
  <c r="F19" i="26" s="1"/>
  <c r="H19" i="26" s="1"/>
  <c r="B6" i="27" s="1"/>
  <c r="D4" i="26"/>
  <c r="F4" i="26" s="1"/>
  <c r="H4" i="26" s="1"/>
  <c r="J4" i="26" s="1"/>
  <c r="B18" i="26" s="1"/>
  <c r="D18" i="26" s="1"/>
  <c r="F18" i="26" s="1"/>
  <c r="H18" i="26" s="1"/>
  <c r="B5" i="27" s="1"/>
  <c r="F6" i="26"/>
  <c r="H6" i="26"/>
  <c r="J6" i="26" s="1"/>
  <c r="B20" i="26" s="1"/>
  <c r="D20" i="26" s="1"/>
  <c r="F20" i="26" s="1"/>
  <c r="H20" i="26" s="1"/>
  <c r="B7" i="27" s="1"/>
  <c r="D13" i="26"/>
  <c r="F13" i="26"/>
  <c r="H13" i="26" s="1"/>
  <c r="B124" i="4"/>
  <c r="B127" i="4" s="1"/>
  <c r="E13" i="26"/>
  <c r="G13" i="26" s="1"/>
  <c r="I13" i="26" s="1"/>
  <c r="K13" i="26" s="1"/>
  <c r="C27" i="26" s="1"/>
  <c r="E27" i="26" s="1"/>
  <c r="G27" i="26" s="1"/>
  <c r="I27" i="26" s="1"/>
  <c r="D2" i="26"/>
  <c r="F2" i="26" s="1"/>
  <c r="H2" i="26" s="1"/>
  <c r="J2" i="26" s="1"/>
  <c r="B16" i="26" s="1"/>
  <c r="D16" i="26" s="1"/>
  <c r="F16" i="26" s="1"/>
  <c r="H16" i="26" s="1"/>
  <c r="H14" i="26"/>
  <c r="J14" i="26" s="1"/>
  <c r="B28" i="26" s="1"/>
  <c r="D28" i="26" s="1"/>
  <c r="F28" i="26" s="1"/>
  <c r="H28" i="26" s="1"/>
  <c r="B15" i="27" s="1"/>
  <c r="E4" i="26"/>
  <c r="G4" i="26" s="1"/>
  <c r="E5" i="26"/>
  <c r="G5" i="26" s="1"/>
  <c r="I5" i="26" s="1"/>
  <c r="K5" i="26" s="1"/>
  <c r="C19" i="26" s="1"/>
  <c r="E19" i="26" s="1"/>
  <c r="G19" i="26" s="1"/>
  <c r="I19" i="26" s="1"/>
  <c r="E7" i="26"/>
  <c r="G7" i="26" s="1"/>
  <c r="D11" i="26"/>
  <c r="F11" i="26" s="1"/>
  <c r="H11" i="26" s="1"/>
  <c r="J11" i="26" s="1"/>
  <c r="B25" i="26" s="1"/>
  <c r="D25" i="26" s="1"/>
  <c r="F25" i="26" s="1"/>
  <c r="H25" i="26" s="1"/>
  <c r="B12" i="27" s="1"/>
  <c r="D21" i="25"/>
  <c r="C14" i="27" l="1"/>
  <c r="D14" i="27" s="1"/>
  <c r="K10" i="26"/>
  <c r="C24" i="26" s="1"/>
  <c r="E24" i="26" s="1"/>
  <c r="G24" i="26" s="1"/>
  <c r="I24" i="26" s="1"/>
  <c r="B90" i="4"/>
  <c r="B93" i="4" s="1"/>
  <c r="I7" i="26"/>
  <c r="K7" i="26" s="1"/>
  <c r="C21" i="26" s="1"/>
  <c r="E21" i="26" s="1"/>
  <c r="G21" i="26" s="1"/>
  <c r="I21" i="26" s="1"/>
  <c r="C8" i="27" s="1"/>
  <c r="I4" i="26"/>
  <c r="K4" i="26" s="1"/>
  <c r="C18" i="26" s="1"/>
  <c r="E18" i="26" s="1"/>
  <c r="G18" i="26" s="1"/>
  <c r="I18" i="26" s="1"/>
  <c r="C5" i="27" s="1"/>
  <c r="B102" i="4"/>
  <c r="B105" i="4" s="1"/>
  <c r="B28" i="1"/>
  <c r="B31" i="1" s="1"/>
  <c r="J13" i="26"/>
  <c r="B27" i="26" s="1"/>
  <c r="D27" i="26" s="1"/>
  <c r="F27" i="26" s="1"/>
  <c r="H27" i="26" s="1"/>
  <c r="B14" i="27" s="1"/>
  <c r="J12" i="26"/>
  <c r="B26" i="26" s="1"/>
  <c r="D26" i="26" s="1"/>
  <c r="F26" i="26" s="1"/>
  <c r="H26" i="26" s="1"/>
  <c r="B13" i="27" s="1"/>
  <c r="C13" i="27" s="1"/>
  <c r="D13" i="27" s="1"/>
  <c r="C2" i="28"/>
  <c r="H7" i="26"/>
  <c r="J7" i="26" s="1"/>
  <c r="B21" i="26" s="1"/>
  <c r="D21" i="26" s="1"/>
  <c r="F21" i="26" s="1"/>
  <c r="H21" i="26" s="1"/>
  <c r="B8" i="27" s="1"/>
  <c r="H9" i="26"/>
  <c r="J9" i="26" s="1"/>
  <c r="B23" i="26" s="1"/>
  <c r="D23" i="26" s="1"/>
  <c r="F23" i="26" s="1"/>
  <c r="H23" i="26" s="1"/>
  <c r="B10" i="27" s="1"/>
  <c r="C10" i="27" s="1"/>
  <c r="I11" i="26"/>
  <c r="K11" i="26" s="1"/>
  <c r="C25" i="26" s="1"/>
  <c r="E25" i="26" s="1"/>
  <c r="G25" i="26" s="1"/>
  <c r="I25" i="26" s="1"/>
  <c r="C12" i="27" s="1"/>
  <c r="B57" i="4"/>
  <c r="B60" i="4" s="1"/>
  <c r="B65" i="1"/>
  <c r="B68" i="1" s="1"/>
  <c r="B12" i="4"/>
  <c r="B15" i="4" s="1"/>
  <c r="H8" i="26"/>
  <c r="J8" i="26" s="1"/>
  <c r="B22" i="26" s="1"/>
  <c r="D22" i="26" s="1"/>
  <c r="F22" i="26" s="1"/>
  <c r="H22" i="26" s="1"/>
  <c r="B9" i="27" s="1"/>
  <c r="C9" i="27" s="1"/>
  <c r="H10" i="26"/>
  <c r="J10" i="26" s="1"/>
  <c r="B24" i="26" s="1"/>
  <c r="D24" i="26" s="1"/>
  <c r="F24" i="26" s="1"/>
  <c r="H24" i="26" s="1"/>
  <c r="B11" i="27" s="1"/>
  <c r="C11" i="27"/>
  <c r="C15" i="27"/>
  <c r="C6" i="27"/>
  <c r="D25" i="25"/>
  <c r="D28" i="25"/>
  <c r="C4" i="27"/>
  <c r="C7" i="27"/>
  <c r="B46" i="1"/>
  <c r="B49" i="1" s="1"/>
  <c r="B83" i="1"/>
  <c r="B86" i="1" s="1"/>
  <c r="B113" i="4"/>
  <c r="B116" i="4" s="1"/>
  <c r="B68" i="4"/>
  <c r="B71" i="4" s="1"/>
  <c r="B23" i="4"/>
  <c r="B26" i="4" s="1"/>
  <c r="B34" i="4"/>
  <c r="B37" i="4" s="1"/>
  <c r="B79" i="4"/>
  <c r="B82" i="4" s="1"/>
  <c r="B135" i="4"/>
  <c r="B138" i="4" s="1"/>
  <c r="A55" i="11"/>
  <c r="A56" i="11" s="1"/>
  <c r="A57" i="11" s="1"/>
  <c r="C54" i="11"/>
  <c r="C55" i="11" s="1"/>
  <c r="C56" i="11" s="1"/>
  <c r="C57" i="11" s="1"/>
  <c r="B101" i="1"/>
  <c r="B104" i="1" s="1"/>
  <c r="B92" i="1"/>
  <c r="B95" i="1" s="1"/>
  <c r="B74" i="1"/>
  <c r="B77" i="1" s="1"/>
  <c r="B55" i="1"/>
  <c r="B58" i="1" s="1"/>
  <c r="B37" i="1"/>
  <c r="B40" i="1" s="1"/>
  <c r="B19" i="1"/>
  <c r="B22" i="1" s="1"/>
  <c r="H20" i="25"/>
  <c r="G3" i="7"/>
  <c r="B15" i="7" s="1"/>
  <c r="B20" i="7" l="1"/>
  <c r="D107" i="1" s="1"/>
  <c r="D109" i="1" s="1"/>
  <c r="B13" i="7"/>
  <c r="B17" i="7"/>
  <c r="D43" i="1"/>
  <c r="D45" i="1" s="1"/>
  <c r="D52" i="4"/>
  <c r="D5" i="27"/>
  <c r="C10" i="7"/>
  <c r="H24" i="25"/>
  <c r="H22" i="25"/>
  <c r="B9" i="7"/>
  <c r="C15" i="7"/>
  <c r="D10" i="27"/>
  <c r="D6" i="27"/>
  <c r="C11" i="7"/>
  <c r="E14" i="27"/>
  <c r="D19" i="7"/>
  <c r="D9" i="27"/>
  <c r="C14" i="7"/>
  <c r="B16" i="7"/>
  <c r="D7" i="27"/>
  <c r="C12" i="7"/>
  <c r="E13" i="27"/>
  <c r="D18" i="7"/>
  <c r="D97" i="4"/>
  <c r="D80" i="1"/>
  <c r="D82" i="1" s="1"/>
  <c r="B12" i="7"/>
  <c r="D8" i="27"/>
  <c r="C13" i="7"/>
  <c r="B19" i="7"/>
  <c r="C19" i="7"/>
  <c r="B14" i="7"/>
  <c r="C16" i="7"/>
  <c r="D11" i="27"/>
  <c r="D74" i="4"/>
  <c r="D62" i="1"/>
  <c r="D64" i="1" s="1"/>
  <c r="D4" i="27"/>
  <c r="C9" i="7"/>
  <c r="B18" i="7"/>
  <c r="B11" i="7"/>
  <c r="C18" i="7"/>
  <c r="D15" i="27"/>
  <c r="C20" i="7"/>
  <c r="B10" i="7"/>
  <c r="D12" i="27"/>
  <c r="C17" i="7"/>
  <c r="D130" i="4" l="1"/>
  <c r="D18" i="4"/>
  <c r="D16" i="1"/>
  <c r="D18" i="1" s="1"/>
  <c r="D98" i="1"/>
  <c r="D100" i="1" s="1"/>
  <c r="D119" i="4"/>
  <c r="D14" i="7"/>
  <c r="E9" i="27"/>
  <c r="D56" i="4"/>
  <c r="D54" i="4"/>
  <c r="E7" i="1"/>
  <c r="E9" i="1" s="1"/>
  <c r="E7" i="4"/>
  <c r="D52" i="1"/>
  <c r="D54" i="1" s="1"/>
  <c r="D63" i="4"/>
  <c r="E8" i="27"/>
  <c r="D13" i="7"/>
  <c r="F89" i="1"/>
  <c r="F91" i="1" s="1"/>
  <c r="F108" i="4"/>
  <c r="D71" i="1"/>
  <c r="D85" i="4"/>
  <c r="F14" i="27"/>
  <c r="E19" i="7"/>
  <c r="E62" i="1"/>
  <c r="E64" i="1" s="1"/>
  <c r="E74" i="4"/>
  <c r="E16" i="1"/>
  <c r="E18" i="1" s="1"/>
  <c r="E18" i="4"/>
  <c r="D67" i="1"/>
  <c r="D70" i="1"/>
  <c r="D63" i="1"/>
  <c r="E11" i="27"/>
  <c r="D16" i="7"/>
  <c r="E34" i="1"/>
  <c r="E36" i="1" s="1"/>
  <c r="E40" i="4"/>
  <c r="E6" i="27"/>
  <c r="D11" i="7"/>
  <c r="E80" i="1"/>
  <c r="E82" i="1" s="1"/>
  <c r="E97" i="4"/>
  <c r="E15" i="27"/>
  <c r="D20" i="7"/>
  <c r="D134" i="4"/>
  <c r="D132" i="4"/>
  <c r="D17" i="7"/>
  <c r="E12" i="27"/>
  <c r="E108" i="4"/>
  <c r="E89" i="1"/>
  <c r="E91" i="1" s="1"/>
  <c r="D9" i="7"/>
  <c r="E4" i="27"/>
  <c r="D108" i="1"/>
  <c r="D112" i="1"/>
  <c r="D115" i="1"/>
  <c r="E98" i="1"/>
  <c r="E100" i="1" s="1"/>
  <c r="E119" i="4"/>
  <c r="D40" i="4"/>
  <c r="D34" i="1"/>
  <c r="D36" i="1" s="1"/>
  <c r="F13" i="27"/>
  <c r="E18" i="7"/>
  <c r="E63" i="4"/>
  <c r="E52" i="1"/>
  <c r="E54" i="1" s="1"/>
  <c r="E25" i="1"/>
  <c r="E27" i="1" s="1"/>
  <c r="E29" i="4"/>
  <c r="D7" i="4"/>
  <c r="D7" i="1"/>
  <c r="D9" i="1" s="1"/>
  <c r="D10" i="7"/>
  <c r="E5" i="27"/>
  <c r="D25" i="1"/>
  <c r="D27" i="1" s="1"/>
  <c r="D29" i="4"/>
  <c r="D81" i="1"/>
  <c r="D85" i="1"/>
  <c r="D88" i="1"/>
  <c r="H27" i="25"/>
  <c r="H30" i="25"/>
  <c r="H21" i="25"/>
  <c r="E130" i="4"/>
  <c r="E107" i="1"/>
  <c r="E109" i="1" s="1"/>
  <c r="D108" i="4"/>
  <c r="D89" i="1"/>
  <c r="D91" i="1" s="1"/>
  <c r="D76" i="4"/>
  <c r="D78" i="4"/>
  <c r="E71" i="1"/>
  <c r="E73" i="1" s="1"/>
  <c r="E85" i="4"/>
  <c r="E43" i="1"/>
  <c r="E45" i="1" s="1"/>
  <c r="E52" i="4"/>
  <c r="D99" i="4"/>
  <c r="D101" i="4"/>
  <c r="D12" i="7"/>
  <c r="E7" i="27"/>
  <c r="F119" i="4"/>
  <c r="F98" i="1"/>
  <c r="F100" i="1" s="1"/>
  <c r="D15" i="7"/>
  <c r="E10" i="27"/>
  <c r="H23" i="25"/>
  <c r="D48" i="1"/>
  <c r="D44" i="1"/>
  <c r="D51" i="1"/>
  <c r="F40" i="4" l="1"/>
  <c r="F34" i="1"/>
  <c r="F36" i="1" s="1"/>
  <c r="E134" i="4"/>
  <c r="E132" i="4"/>
  <c r="D35" i="1"/>
  <c r="D39" i="1"/>
  <c r="D42" i="1"/>
  <c r="E17" i="7"/>
  <c r="F12" i="27"/>
  <c r="F85" i="4"/>
  <c r="F71" i="1"/>
  <c r="F73" i="1" s="1"/>
  <c r="E76" i="4"/>
  <c r="E78" i="4"/>
  <c r="F9" i="27"/>
  <c r="E14" i="7"/>
  <c r="D98" i="4"/>
  <c r="D105" i="4" s="1"/>
  <c r="D106" i="4" s="1"/>
  <c r="D104" i="4"/>
  <c r="D107" i="4"/>
  <c r="E79" i="1"/>
  <c r="E76" i="1"/>
  <c r="E72" i="1"/>
  <c r="D110" i="4"/>
  <c r="D112" i="4"/>
  <c r="F5" i="27"/>
  <c r="E10" i="7"/>
  <c r="E33" i="4"/>
  <c r="E31" i="4"/>
  <c r="G108" i="4"/>
  <c r="G89" i="1"/>
  <c r="G91" i="1" s="1"/>
  <c r="E121" i="4"/>
  <c r="E123" i="4"/>
  <c r="E97" i="1"/>
  <c r="E94" i="1"/>
  <c r="E90" i="1"/>
  <c r="D131" i="4"/>
  <c r="D137" i="4"/>
  <c r="D140" i="4"/>
  <c r="E101" i="4"/>
  <c r="E99" i="4"/>
  <c r="E42" i="4"/>
  <c r="E44" i="4"/>
  <c r="E20" i="4"/>
  <c r="E22" i="4"/>
  <c r="G119" i="4"/>
  <c r="G98" i="1"/>
  <c r="G100" i="1" s="1"/>
  <c r="F112" i="4"/>
  <c r="F110" i="4"/>
  <c r="D67" i="4"/>
  <c r="D65" i="4"/>
  <c r="D62" i="4"/>
  <c r="D59" i="4"/>
  <c r="D53" i="4"/>
  <c r="D123" i="4"/>
  <c r="D121" i="4"/>
  <c r="F62" i="1"/>
  <c r="F64" i="1" s="1"/>
  <c r="F74" i="4"/>
  <c r="D81" i="4"/>
  <c r="D75" i="4"/>
  <c r="D84" i="4"/>
  <c r="D33" i="4"/>
  <c r="D31" i="4"/>
  <c r="D15" i="1"/>
  <c r="D12" i="1"/>
  <c r="D8" i="1"/>
  <c r="E9" i="7"/>
  <c r="F4" i="27"/>
  <c r="F25" i="1"/>
  <c r="F27" i="1" s="1"/>
  <c r="F29" i="4"/>
  <c r="D87" i="4"/>
  <c r="G149" i="4"/>
  <c r="D89" i="4"/>
  <c r="D24" i="1"/>
  <c r="D17" i="1"/>
  <c r="D21" i="1"/>
  <c r="F121" i="4"/>
  <c r="F123" i="4"/>
  <c r="F10" i="27"/>
  <c r="E15" i="7"/>
  <c r="F7" i="27"/>
  <c r="E12" i="7"/>
  <c r="E56" i="4"/>
  <c r="E54" i="4"/>
  <c r="D77" i="4"/>
  <c r="D80" i="4"/>
  <c r="D79" i="4" s="1"/>
  <c r="E108" i="1"/>
  <c r="E112" i="1"/>
  <c r="E115" i="1"/>
  <c r="F18" i="4"/>
  <c r="F16" i="1"/>
  <c r="F18" i="1" s="1"/>
  <c r="E33" i="1"/>
  <c r="E30" i="1"/>
  <c r="E26" i="1"/>
  <c r="G13" i="27"/>
  <c r="F18" i="7"/>
  <c r="E99" i="1"/>
  <c r="E103" i="1"/>
  <c r="E106" i="1"/>
  <c r="E110" i="4"/>
  <c r="E112" i="4"/>
  <c r="D133" i="4"/>
  <c r="D136" i="4"/>
  <c r="D135" i="4" s="1"/>
  <c r="E81" i="1"/>
  <c r="E85" i="1"/>
  <c r="E88" i="1"/>
  <c r="E35" i="1"/>
  <c r="E42" i="1"/>
  <c r="E39" i="1"/>
  <c r="E20" i="1"/>
  <c r="E19" i="1" s="1"/>
  <c r="E17" i="1"/>
  <c r="E24" i="1"/>
  <c r="E21" i="1"/>
  <c r="F19" i="7"/>
  <c r="G14" i="27"/>
  <c r="F94" i="1"/>
  <c r="F90" i="1"/>
  <c r="F97" i="1"/>
  <c r="D60" i="1"/>
  <c r="D53" i="1"/>
  <c r="D57" i="1"/>
  <c r="D55" i="4"/>
  <c r="D58" i="4"/>
  <c r="D57" i="4" s="1"/>
  <c r="D99" i="1"/>
  <c r="D103" i="1"/>
  <c r="D106" i="1"/>
  <c r="E44" i="1"/>
  <c r="E48" i="1"/>
  <c r="E51" i="1"/>
  <c r="E53" i="1"/>
  <c r="E60" i="1"/>
  <c r="E57" i="1"/>
  <c r="F130" i="4"/>
  <c r="F107" i="1"/>
  <c r="F109" i="1" s="1"/>
  <c r="F52" i="4"/>
  <c r="F43" i="1"/>
  <c r="F45" i="1" s="1"/>
  <c r="E11" i="4"/>
  <c r="E9" i="4"/>
  <c r="F106" i="1"/>
  <c r="F99" i="1"/>
  <c r="F103" i="1"/>
  <c r="D100" i="4"/>
  <c r="D103" i="4"/>
  <c r="D102" i="4" s="1"/>
  <c r="E87" i="4"/>
  <c r="E89" i="4"/>
  <c r="D94" i="1"/>
  <c r="D97" i="1"/>
  <c r="D90" i="1"/>
  <c r="D33" i="1"/>
  <c r="D30" i="1"/>
  <c r="D26" i="1"/>
  <c r="D9" i="4"/>
  <c r="D11" i="4"/>
  <c r="E65" i="4"/>
  <c r="E67" i="4"/>
  <c r="D42" i="4"/>
  <c r="D44" i="4"/>
  <c r="F7" i="4"/>
  <c r="F7" i="1"/>
  <c r="F9" i="1" s="1"/>
  <c r="F80" i="1"/>
  <c r="F82" i="1" s="1"/>
  <c r="F97" i="4"/>
  <c r="E20" i="7"/>
  <c r="F15" i="27"/>
  <c r="E11" i="7"/>
  <c r="F6" i="27"/>
  <c r="E16" i="7"/>
  <c r="F11" i="27"/>
  <c r="E67" i="1"/>
  <c r="E63" i="1"/>
  <c r="E70" i="1"/>
  <c r="G122" i="1"/>
  <c r="E75" i="1" s="1"/>
  <c r="E74" i="1" s="1"/>
  <c r="D73" i="1"/>
  <c r="F8" i="27"/>
  <c r="E13" i="7"/>
  <c r="E12" i="1"/>
  <c r="E8" i="1"/>
  <c r="E15" i="1"/>
  <c r="F63" i="4"/>
  <c r="F52" i="1"/>
  <c r="F54" i="1" s="1"/>
  <c r="D20" i="4"/>
  <c r="D22" i="4"/>
  <c r="F102" i="1" l="1"/>
  <c r="F101" i="1" s="1"/>
  <c r="D29" i="1"/>
  <c r="D28" i="1" s="1"/>
  <c r="F57" i="1"/>
  <c r="F53" i="1"/>
  <c r="F58" i="1" s="1"/>
  <c r="F59" i="1" s="1"/>
  <c r="F60" i="1"/>
  <c r="F56" i="1"/>
  <c r="F55" i="1" s="1"/>
  <c r="E13" i="4"/>
  <c r="E12" i="4" s="1"/>
  <c r="E10" i="4"/>
  <c r="E111" i="4"/>
  <c r="E114" i="4"/>
  <c r="E113" i="4" s="1"/>
  <c r="G18" i="7"/>
  <c r="H13" i="27"/>
  <c r="G40" i="4"/>
  <c r="G34" i="1"/>
  <c r="G36" i="1" s="1"/>
  <c r="D92" i="4"/>
  <c r="D86" i="4"/>
  <c r="D95" i="4"/>
  <c r="D120" i="4"/>
  <c r="D129" i="4"/>
  <c r="D126" i="4"/>
  <c r="E100" i="4"/>
  <c r="E103" i="4"/>
  <c r="E102" i="4" s="1"/>
  <c r="F39" i="1"/>
  <c r="F38" i="1"/>
  <c r="F37" i="1" s="1"/>
  <c r="F35" i="1"/>
  <c r="F42" i="1"/>
  <c r="D14" i="4"/>
  <c r="D8" i="4"/>
  <c r="D17" i="4"/>
  <c r="G11" i="27"/>
  <c r="F16" i="7"/>
  <c r="E69" i="4"/>
  <c r="E68" i="4" s="1"/>
  <c r="E66" i="4"/>
  <c r="F54" i="4"/>
  <c r="F56" i="4"/>
  <c r="E47" i="1"/>
  <c r="E46" i="1" s="1"/>
  <c r="E49" i="1" s="1"/>
  <c r="E50" i="1" s="1"/>
  <c r="D56" i="1"/>
  <c r="D55" i="1" s="1"/>
  <c r="D58" i="1" s="1"/>
  <c r="D59" i="1" s="1"/>
  <c r="F20" i="4"/>
  <c r="F22" i="4"/>
  <c r="E59" i="4"/>
  <c r="E53" i="4"/>
  <c r="E62" i="4"/>
  <c r="G62" i="1"/>
  <c r="G64" i="1" s="1"/>
  <c r="G74" i="4"/>
  <c r="D20" i="1"/>
  <c r="D19" i="1" s="1"/>
  <c r="D91" i="4"/>
  <c r="D90" i="4" s="1"/>
  <c r="D88" i="4"/>
  <c r="F30" i="1"/>
  <c r="F33" i="1"/>
  <c r="F26" i="1"/>
  <c r="F29" i="1"/>
  <c r="F28" i="1" s="1"/>
  <c r="D32" i="4"/>
  <c r="D35" i="4"/>
  <c r="D34" i="4" s="1"/>
  <c r="F76" i="4"/>
  <c r="F78" i="4"/>
  <c r="D60" i="4"/>
  <c r="D61" i="4" s="1"/>
  <c r="D69" i="4"/>
  <c r="D68" i="4" s="1"/>
  <c r="D66" i="4"/>
  <c r="G121" i="4"/>
  <c r="G123" i="4"/>
  <c r="E41" i="4"/>
  <c r="E50" i="4"/>
  <c r="E47" i="4"/>
  <c r="G94" i="1"/>
  <c r="G93" i="1"/>
  <c r="G92" i="1" s="1"/>
  <c r="G97" i="1"/>
  <c r="G90" i="1"/>
  <c r="G95" i="1" s="1"/>
  <c r="G96" i="1" s="1"/>
  <c r="G16" i="1"/>
  <c r="G18" i="1" s="1"/>
  <c r="G18" i="4"/>
  <c r="E77" i="1"/>
  <c r="E78" i="1" s="1"/>
  <c r="G63" i="4"/>
  <c r="G52" i="1"/>
  <c r="G54" i="1" s="1"/>
  <c r="F72" i="1"/>
  <c r="F75" i="1"/>
  <c r="F74" i="1" s="1"/>
  <c r="F76" i="1"/>
  <c r="F79" i="1"/>
  <c r="D38" i="1"/>
  <c r="D37" i="1" s="1"/>
  <c r="E131" i="4"/>
  <c r="E140" i="4"/>
  <c r="E137" i="4"/>
  <c r="D76" i="1"/>
  <c r="D79" i="1"/>
  <c r="D75" i="1"/>
  <c r="D74" i="1" s="1"/>
  <c r="D72" i="1"/>
  <c r="F101" i="4"/>
  <c r="F99" i="4"/>
  <c r="D46" i="4"/>
  <c r="D45" i="4" s="1"/>
  <c r="D43" i="4"/>
  <c r="D13" i="4"/>
  <c r="D12" i="4" s="1"/>
  <c r="D10" i="4"/>
  <c r="E95" i="4"/>
  <c r="E92" i="4"/>
  <c r="E86" i="4"/>
  <c r="F132" i="4"/>
  <c r="F134" i="4"/>
  <c r="H119" i="4"/>
  <c r="H98" i="1"/>
  <c r="H100" i="1" s="1"/>
  <c r="F122" i="4"/>
  <c r="F125" i="4"/>
  <c r="F124" i="4" s="1"/>
  <c r="D22" i="1"/>
  <c r="D23" i="1" s="1"/>
  <c r="E28" i="4"/>
  <c r="E19" i="4"/>
  <c r="E25" i="4"/>
  <c r="E39" i="4"/>
  <c r="E30" i="4"/>
  <c r="E36" i="4"/>
  <c r="F67" i="4"/>
  <c r="F65" i="4"/>
  <c r="E11" i="1"/>
  <c r="E10" i="1" s="1"/>
  <c r="E13" i="1" s="1"/>
  <c r="E14" i="1" s="1"/>
  <c r="G25" i="1"/>
  <c r="G27" i="1" s="1"/>
  <c r="G29" i="4"/>
  <c r="D50" i="4"/>
  <c r="D41" i="4"/>
  <c r="D47" i="4"/>
  <c r="D21" i="4"/>
  <c r="D24" i="4"/>
  <c r="D23" i="4" s="1"/>
  <c r="G43" i="1"/>
  <c r="G45" i="1" s="1"/>
  <c r="G52" i="4"/>
  <c r="E66" i="1"/>
  <c r="E65" i="1" s="1"/>
  <c r="E68" i="1" s="1"/>
  <c r="E69" i="1" s="1"/>
  <c r="F20" i="7"/>
  <c r="G15" i="27"/>
  <c r="F8" i="1"/>
  <c r="F15" i="1"/>
  <c r="F12" i="1"/>
  <c r="F11" i="1"/>
  <c r="F10" i="1" s="1"/>
  <c r="D31" i="1"/>
  <c r="D32" i="1" s="1"/>
  <c r="E56" i="1"/>
  <c r="E55" i="1" s="1"/>
  <c r="E58" i="1" s="1"/>
  <c r="E59" i="1" s="1"/>
  <c r="E38" i="1"/>
  <c r="E37" i="1" s="1"/>
  <c r="D19" i="4"/>
  <c r="D25" i="4"/>
  <c r="D28" i="4"/>
  <c r="G8" i="27"/>
  <c r="F13" i="7"/>
  <c r="G71" i="1"/>
  <c r="G73" i="1" s="1"/>
  <c r="G85" i="4"/>
  <c r="G130" i="4"/>
  <c r="G107" i="1"/>
  <c r="G109" i="1" s="1"/>
  <c r="F9" i="4"/>
  <c r="F11" i="4"/>
  <c r="E64" i="4"/>
  <c r="E73" i="4"/>
  <c r="E70" i="4"/>
  <c r="D93" i="1"/>
  <c r="D92" i="1" s="1"/>
  <c r="D95" i="1" s="1"/>
  <c r="D96" i="1" s="1"/>
  <c r="E88" i="4"/>
  <c r="E91" i="4"/>
  <c r="E90" i="4" s="1"/>
  <c r="E17" i="4"/>
  <c r="E8" i="4"/>
  <c r="E14" i="4"/>
  <c r="F111" i="1"/>
  <c r="F110" i="1" s="1"/>
  <c r="F108" i="1"/>
  <c r="F115" i="1"/>
  <c r="F112" i="1"/>
  <c r="D102" i="1"/>
  <c r="D101" i="1" s="1"/>
  <c r="D104" i="1" s="1"/>
  <c r="D105" i="1" s="1"/>
  <c r="F93" i="1"/>
  <c r="F92" i="1" s="1"/>
  <c r="F95" i="1" s="1"/>
  <c r="F96" i="1" s="1"/>
  <c r="H14" i="27"/>
  <c r="G19" i="7"/>
  <c r="E22" i="1"/>
  <c r="E23" i="1" s="1"/>
  <c r="E102" i="1"/>
  <c r="E101" i="1" s="1"/>
  <c r="E104" i="1" s="1"/>
  <c r="E105" i="1" s="1"/>
  <c r="H89" i="1"/>
  <c r="H91" i="1" s="1"/>
  <c r="H108" i="4"/>
  <c r="E55" i="4"/>
  <c r="E58" i="4"/>
  <c r="E57" i="4" s="1"/>
  <c r="G10" i="27"/>
  <c r="F15" i="7"/>
  <c r="G4" i="27"/>
  <c r="F9" i="7"/>
  <c r="F63" i="1"/>
  <c r="F70" i="1"/>
  <c r="F67" i="1"/>
  <c r="F66" i="1"/>
  <c r="F65" i="1" s="1"/>
  <c r="F115" i="4"/>
  <c r="F109" i="4"/>
  <c r="F118" i="4"/>
  <c r="E21" i="4"/>
  <c r="E24" i="4"/>
  <c r="E23" i="4" s="1"/>
  <c r="E107" i="4"/>
  <c r="E104" i="4"/>
  <c r="E98" i="4"/>
  <c r="D138" i="4"/>
  <c r="D139" i="4" s="1"/>
  <c r="G110" i="4"/>
  <c r="G112" i="4"/>
  <c r="G5" i="27"/>
  <c r="F10" i="7"/>
  <c r="G9" i="27"/>
  <c r="F14" i="7"/>
  <c r="F87" i="4"/>
  <c r="F89" i="4"/>
  <c r="E133" i="4"/>
  <c r="E136" i="4"/>
  <c r="E135" i="4" s="1"/>
  <c r="F11" i="7"/>
  <c r="G6" i="27"/>
  <c r="G7" i="4"/>
  <c r="G7" i="1"/>
  <c r="G9" i="1" s="1"/>
  <c r="D82" i="4"/>
  <c r="D83" i="4" s="1"/>
  <c r="F114" i="4"/>
  <c r="F113" i="4" s="1"/>
  <c r="F111" i="4"/>
  <c r="E122" i="4"/>
  <c r="E125" i="4"/>
  <c r="E124" i="4" s="1"/>
  <c r="D111" i="4"/>
  <c r="D114" i="4"/>
  <c r="D113" i="4" s="1"/>
  <c r="E77" i="4"/>
  <c r="E80" i="4"/>
  <c r="E79" i="4" s="1"/>
  <c r="F17" i="7"/>
  <c r="G12" i="27"/>
  <c r="D24" i="25"/>
  <c r="D23" i="25" s="1"/>
  <c r="D26" i="25" s="1"/>
  <c r="D27" i="25" s="1"/>
  <c r="D84" i="1"/>
  <c r="D83" i="1" s="1"/>
  <c r="D86" i="1" s="1"/>
  <c r="D87" i="1" s="1"/>
  <c r="D47" i="1"/>
  <c r="D46" i="1" s="1"/>
  <c r="D49" i="1" s="1"/>
  <c r="D50" i="1" s="1"/>
  <c r="H26" i="25"/>
  <c r="H25" i="25" s="1"/>
  <c r="H28" i="25" s="1"/>
  <c r="H29" i="25" s="1"/>
  <c r="D111" i="1"/>
  <c r="D110" i="1" s="1"/>
  <c r="D113" i="1" s="1"/>
  <c r="D114" i="1" s="1"/>
  <c r="D66" i="1"/>
  <c r="D65" i="1" s="1"/>
  <c r="D68" i="1" s="1"/>
  <c r="D69" i="1" s="1"/>
  <c r="F88" i="1"/>
  <c r="F81" i="1"/>
  <c r="F85" i="1"/>
  <c r="F84" i="1"/>
  <c r="F83" i="1" s="1"/>
  <c r="F104" i="1"/>
  <c r="F105" i="1" s="1"/>
  <c r="F47" i="1"/>
  <c r="F46" i="1" s="1"/>
  <c r="F44" i="1"/>
  <c r="F51" i="1"/>
  <c r="F48" i="1"/>
  <c r="E40" i="1"/>
  <c r="E41" i="1" s="1"/>
  <c r="E84" i="1"/>
  <c r="E83" i="1" s="1"/>
  <c r="E86" i="1" s="1"/>
  <c r="E87" i="1" s="1"/>
  <c r="E115" i="4"/>
  <c r="E118" i="4"/>
  <c r="E109" i="4"/>
  <c r="E29" i="1"/>
  <c r="E28" i="1" s="1"/>
  <c r="E31" i="1" s="1"/>
  <c r="E32" i="1" s="1"/>
  <c r="F24" i="1"/>
  <c r="F21" i="1"/>
  <c r="F20" i="1"/>
  <c r="F19" i="1" s="1"/>
  <c r="F17" i="1"/>
  <c r="F22" i="1" s="1"/>
  <c r="F23" i="1" s="1"/>
  <c r="E111" i="1"/>
  <c r="E110" i="1" s="1"/>
  <c r="E113" i="1" s="1"/>
  <c r="E114" i="1" s="1"/>
  <c r="G7" i="27"/>
  <c r="F12" i="7"/>
  <c r="F129" i="4"/>
  <c r="F120" i="4"/>
  <c r="F127" i="4" s="1"/>
  <c r="F128" i="4" s="1"/>
  <c r="F126" i="4"/>
  <c r="F33" i="4"/>
  <c r="F31" i="4"/>
  <c r="D11" i="1"/>
  <c r="D10" i="1" s="1"/>
  <c r="D13" i="1" s="1"/>
  <c r="D14" i="1" s="1"/>
  <c r="D30" i="4"/>
  <c r="D39" i="4"/>
  <c r="D36" i="4"/>
  <c r="D125" i="4"/>
  <c r="D124" i="4" s="1"/>
  <c r="D122" i="4"/>
  <c r="D64" i="4"/>
  <c r="D70" i="4"/>
  <c r="D73" i="4"/>
  <c r="G99" i="1"/>
  <c r="G103" i="1"/>
  <c r="G102" i="1"/>
  <c r="G101" i="1" s="1"/>
  <c r="G106" i="1"/>
  <c r="E46" i="4"/>
  <c r="E45" i="4" s="1"/>
  <c r="E43" i="4"/>
  <c r="E93" i="1"/>
  <c r="E92" i="1" s="1"/>
  <c r="E95" i="1" s="1"/>
  <c r="E96" i="1" s="1"/>
  <c r="E129" i="4"/>
  <c r="E120" i="4"/>
  <c r="E126" i="4"/>
  <c r="E32" i="4"/>
  <c r="E35" i="4"/>
  <c r="E34" i="4" s="1"/>
  <c r="D118" i="4"/>
  <c r="D109" i="4"/>
  <c r="D115" i="4"/>
  <c r="E81" i="4"/>
  <c r="E84" i="4"/>
  <c r="E75" i="4"/>
  <c r="G80" i="1"/>
  <c r="G82" i="1" s="1"/>
  <c r="G97" i="4"/>
  <c r="D40" i="1"/>
  <c r="D41" i="1" s="1"/>
  <c r="F42" i="4"/>
  <c r="F44" i="4"/>
  <c r="D26" i="4" l="1"/>
  <c r="D27" i="4" s="1"/>
  <c r="D48" i="4"/>
  <c r="D49" i="4" s="1"/>
  <c r="E71" i="4"/>
  <c r="E72" i="4" s="1"/>
  <c r="F68" i="1"/>
  <c r="F69" i="1" s="1"/>
  <c r="G99" i="4"/>
  <c r="G101" i="4"/>
  <c r="H16" i="1"/>
  <c r="H18" i="1" s="1"/>
  <c r="H18" i="4"/>
  <c r="G134" i="4"/>
  <c r="G132" i="4"/>
  <c r="H8" i="27"/>
  <c r="G13" i="7"/>
  <c r="E93" i="4"/>
  <c r="E94" i="4" s="1"/>
  <c r="G65" i="4"/>
  <c r="G67" i="4"/>
  <c r="G120" i="4"/>
  <c r="G129" i="4"/>
  <c r="G126" i="4"/>
  <c r="G78" i="4"/>
  <c r="G76" i="4"/>
  <c r="F43" i="4"/>
  <c r="F46" i="4"/>
  <c r="F45" i="4" s="1"/>
  <c r="F36" i="4"/>
  <c r="F39" i="4"/>
  <c r="F30" i="4"/>
  <c r="F47" i="4"/>
  <c r="F41" i="4"/>
  <c r="F50" i="4"/>
  <c r="D116" i="4"/>
  <c r="D117" i="4" s="1"/>
  <c r="H40" i="4"/>
  <c r="H34" i="1"/>
  <c r="H36" i="1" s="1"/>
  <c r="E116" i="4"/>
  <c r="E117" i="4" s="1"/>
  <c r="G11" i="1"/>
  <c r="G10" i="1" s="1"/>
  <c r="G8" i="1"/>
  <c r="G12" i="1"/>
  <c r="G15" i="1"/>
  <c r="F113" i="1"/>
  <c r="F114" i="1" s="1"/>
  <c r="F17" i="4"/>
  <c r="F14" i="4"/>
  <c r="F8" i="4"/>
  <c r="G72" i="1"/>
  <c r="G75" i="1"/>
  <c r="G74" i="1" s="1"/>
  <c r="G79" i="1"/>
  <c r="G76" i="1"/>
  <c r="G31" i="4"/>
  <c r="G33" i="4"/>
  <c r="F66" i="4"/>
  <c r="F69" i="4"/>
  <c r="F68" i="4" s="1"/>
  <c r="H99" i="1"/>
  <c r="H106" i="1"/>
  <c r="H102" i="1"/>
  <c r="H101" i="1" s="1"/>
  <c r="H103" i="1"/>
  <c r="F136" i="4"/>
  <c r="F135" i="4" s="1"/>
  <c r="F133" i="4"/>
  <c r="F77" i="1"/>
  <c r="F78" i="1" s="1"/>
  <c r="G22" i="4"/>
  <c r="G20" i="4"/>
  <c r="E48" i="4"/>
  <c r="E49" i="4" s="1"/>
  <c r="F31" i="1"/>
  <c r="F32" i="1" s="1"/>
  <c r="F28" i="4"/>
  <c r="F25" i="4"/>
  <c r="F19" i="4"/>
  <c r="D15" i="4"/>
  <c r="D16" i="4" s="1"/>
  <c r="D93" i="4"/>
  <c r="D94" i="4" s="1"/>
  <c r="H18" i="7"/>
  <c r="I13" i="27"/>
  <c r="F91" i="4"/>
  <c r="F90" i="4" s="1"/>
  <c r="F88" i="4"/>
  <c r="I119" i="4"/>
  <c r="I98" i="1"/>
  <c r="I100" i="1" s="1"/>
  <c r="H15" i="27"/>
  <c r="G20" i="7"/>
  <c r="E26" i="4"/>
  <c r="E27" i="4" s="1"/>
  <c r="F107" i="4"/>
  <c r="F104" i="4"/>
  <c r="F98" i="4"/>
  <c r="F80" i="4"/>
  <c r="F79" i="4" s="1"/>
  <c r="F77" i="4"/>
  <c r="F62" i="4"/>
  <c r="F59" i="4"/>
  <c r="F53" i="4"/>
  <c r="G84" i="1"/>
  <c r="G83" i="1" s="1"/>
  <c r="G85" i="1"/>
  <c r="G88" i="1"/>
  <c r="G81" i="1"/>
  <c r="E82" i="4"/>
  <c r="E83" i="4" s="1"/>
  <c r="D71" i="4"/>
  <c r="D72" i="4" s="1"/>
  <c r="F32" i="4"/>
  <c r="F35" i="4"/>
  <c r="F34" i="4" s="1"/>
  <c r="F49" i="1"/>
  <c r="F50" i="1" s="1"/>
  <c r="H52" i="1"/>
  <c r="H54" i="1" s="1"/>
  <c r="H63" i="4"/>
  <c r="G111" i="4"/>
  <c r="G114" i="4"/>
  <c r="G113" i="4" s="1"/>
  <c r="H4" i="27"/>
  <c r="G9" i="7"/>
  <c r="E127" i="4"/>
  <c r="E128" i="4" s="1"/>
  <c r="G104" i="1"/>
  <c r="G105" i="1" s="1"/>
  <c r="D37" i="4"/>
  <c r="D38" i="4" s="1"/>
  <c r="G12" i="7"/>
  <c r="H7" i="27"/>
  <c r="F86" i="1"/>
  <c r="F87" i="1" s="1"/>
  <c r="G17" i="7"/>
  <c r="H12" i="27"/>
  <c r="G11" i="4"/>
  <c r="G9" i="4"/>
  <c r="H9" i="27"/>
  <c r="G14" i="7"/>
  <c r="G115" i="4"/>
  <c r="G118" i="4"/>
  <c r="G109" i="4"/>
  <c r="F116" i="4"/>
  <c r="F117" i="4" s="1"/>
  <c r="H62" i="1"/>
  <c r="H64" i="1" s="1"/>
  <c r="H74" i="4"/>
  <c r="G115" i="1"/>
  <c r="G108" i="1"/>
  <c r="G111" i="1"/>
  <c r="G110" i="1" s="1"/>
  <c r="G112" i="1"/>
  <c r="H52" i="4"/>
  <c r="H43" i="1"/>
  <c r="H45" i="1" s="1"/>
  <c r="F13" i="1"/>
  <c r="F14" i="1" s="1"/>
  <c r="G56" i="4"/>
  <c r="G54" i="4"/>
  <c r="G30" i="1"/>
  <c r="G29" i="1"/>
  <c r="G28" i="1" s="1"/>
  <c r="G26" i="1"/>
  <c r="G33" i="1"/>
  <c r="H121" i="4"/>
  <c r="H123" i="4"/>
  <c r="F131" i="4"/>
  <c r="F137" i="4"/>
  <c r="F140" i="4"/>
  <c r="D77" i="1"/>
  <c r="D78" i="1" s="1"/>
  <c r="G56" i="1"/>
  <c r="G55" i="1" s="1"/>
  <c r="G53" i="1"/>
  <c r="G60" i="1"/>
  <c r="G57" i="1"/>
  <c r="G24" i="1"/>
  <c r="G20" i="1"/>
  <c r="G19" i="1" s="1"/>
  <c r="G21" i="1"/>
  <c r="G17" i="1"/>
  <c r="G125" i="4"/>
  <c r="G124" i="4" s="1"/>
  <c r="G122" i="4"/>
  <c r="E60" i="4"/>
  <c r="E61" i="4" s="1"/>
  <c r="F58" i="4"/>
  <c r="F57" i="4" s="1"/>
  <c r="F55" i="4"/>
  <c r="H71" i="1"/>
  <c r="H73" i="1" s="1"/>
  <c r="H85" i="4"/>
  <c r="I89" i="1"/>
  <c r="I91" i="1" s="1"/>
  <c r="I108" i="4"/>
  <c r="H97" i="4"/>
  <c r="H80" i="1"/>
  <c r="H82" i="1" s="1"/>
  <c r="G11" i="7"/>
  <c r="H6" i="27"/>
  <c r="G15" i="7"/>
  <c r="H10" i="27"/>
  <c r="H112" i="4"/>
  <c r="H110" i="4"/>
  <c r="G51" i="1"/>
  <c r="G48" i="1"/>
  <c r="G44" i="1"/>
  <c r="G47" i="1"/>
  <c r="G46" i="1" s="1"/>
  <c r="E37" i="4"/>
  <c r="E38" i="4" s="1"/>
  <c r="H11" i="27"/>
  <c r="G16" i="7"/>
  <c r="D127" i="4"/>
  <c r="D128" i="4" s="1"/>
  <c r="G38" i="1"/>
  <c r="G37" i="1" s="1"/>
  <c r="G42" i="1"/>
  <c r="G35" i="1"/>
  <c r="G39" i="1"/>
  <c r="H25" i="1"/>
  <c r="H27" i="1" s="1"/>
  <c r="H29" i="4"/>
  <c r="F92" i="4"/>
  <c r="F95" i="4"/>
  <c r="F86" i="4"/>
  <c r="H5" i="27"/>
  <c r="G10" i="7"/>
  <c r="E105" i="4"/>
  <c r="E106" i="4" s="1"/>
  <c r="H7" i="4"/>
  <c r="H7" i="1"/>
  <c r="H9" i="1" s="1"/>
  <c r="H90" i="1"/>
  <c r="H97" i="1"/>
  <c r="H93" i="1"/>
  <c r="H92" i="1" s="1"/>
  <c r="H94" i="1"/>
  <c r="H19" i="7"/>
  <c r="I14" i="27"/>
  <c r="E15" i="4"/>
  <c r="E16" i="4" s="1"/>
  <c r="F13" i="4"/>
  <c r="F12" i="4" s="1"/>
  <c r="F10" i="4"/>
  <c r="G87" i="4"/>
  <c r="G89" i="4"/>
  <c r="H130" i="4"/>
  <c r="H107" i="1"/>
  <c r="H109" i="1" s="1"/>
  <c r="F64" i="4"/>
  <c r="F73" i="4"/>
  <c r="F70" i="4"/>
  <c r="F100" i="4"/>
  <c r="F103" i="4"/>
  <c r="F102" i="4" s="1"/>
  <c r="E138" i="4"/>
  <c r="E139" i="4" s="1"/>
  <c r="F81" i="4"/>
  <c r="F75" i="4"/>
  <c r="F84" i="4"/>
  <c r="G63" i="1"/>
  <c r="G66" i="1"/>
  <c r="G65" i="1" s="1"/>
  <c r="G67" i="1"/>
  <c r="G70" i="1"/>
  <c r="F24" i="4"/>
  <c r="F23" i="4" s="1"/>
  <c r="F21" i="4"/>
  <c r="F40" i="1"/>
  <c r="F41" i="1" s="1"/>
  <c r="G44" i="4"/>
  <c r="G42" i="4"/>
  <c r="F138" i="4" l="1"/>
  <c r="F139" i="4" s="1"/>
  <c r="G31" i="1"/>
  <c r="G32" i="1" s="1"/>
  <c r="F26" i="4"/>
  <c r="F27" i="4" s="1"/>
  <c r="G13" i="1"/>
  <c r="G14" i="1" s="1"/>
  <c r="F71" i="4"/>
  <c r="F72" i="4" s="1"/>
  <c r="H95" i="1"/>
  <c r="H96" i="1" s="1"/>
  <c r="G22" i="1"/>
  <c r="G23" i="1" s="1"/>
  <c r="G43" i="4"/>
  <c r="G46" i="4"/>
  <c r="G45" i="4" s="1"/>
  <c r="G92" i="4"/>
  <c r="G86" i="4"/>
  <c r="G95" i="4"/>
  <c r="I6" i="27"/>
  <c r="H11" i="7"/>
  <c r="I110" i="4"/>
  <c r="I112" i="4"/>
  <c r="G17" i="4"/>
  <c r="G8" i="4"/>
  <c r="G14" i="4"/>
  <c r="J13" i="27"/>
  <c r="I18" i="7"/>
  <c r="G70" i="4"/>
  <c r="G64" i="4"/>
  <c r="G73" i="4"/>
  <c r="H115" i="1"/>
  <c r="H108" i="1"/>
  <c r="H112" i="1"/>
  <c r="H111" i="1"/>
  <c r="H110" i="1" s="1"/>
  <c r="G49" i="1"/>
  <c r="G50" i="1" s="1"/>
  <c r="H132" i="4"/>
  <c r="H134" i="4"/>
  <c r="H11" i="1"/>
  <c r="H10" i="1" s="1"/>
  <c r="H12" i="1"/>
  <c r="H15" i="1"/>
  <c r="H8" i="1"/>
  <c r="H31" i="4"/>
  <c r="H33" i="4"/>
  <c r="H16" i="7"/>
  <c r="I11" i="27"/>
  <c r="H15" i="7"/>
  <c r="I10" i="27"/>
  <c r="H85" i="1"/>
  <c r="H88" i="1"/>
  <c r="H84" i="1"/>
  <c r="H83" i="1" s="1"/>
  <c r="H81" i="1"/>
  <c r="H89" i="4"/>
  <c r="H87" i="4"/>
  <c r="H129" i="4"/>
  <c r="H126" i="4"/>
  <c r="H120" i="4"/>
  <c r="H48" i="1"/>
  <c r="H47" i="1"/>
  <c r="H46" i="1" s="1"/>
  <c r="H51" i="1"/>
  <c r="H44" i="1"/>
  <c r="G113" i="1"/>
  <c r="G114" i="1" s="1"/>
  <c r="I63" i="4"/>
  <c r="I52" i="1"/>
  <c r="I54" i="1" s="1"/>
  <c r="I12" i="27"/>
  <c r="H17" i="7"/>
  <c r="I34" i="1"/>
  <c r="I36" i="1" s="1"/>
  <c r="I40" i="4"/>
  <c r="I7" i="1"/>
  <c r="I9" i="1" s="1"/>
  <c r="I7" i="4"/>
  <c r="H67" i="4"/>
  <c r="H65" i="4"/>
  <c r="F105" i="4"/>
  <c r="F106" i="4" s="1"/>
  <c r="I107" i="1"/>
  <c r="I109" i="1" s="1"/>
  <c r="I130" i="4"/>
  <c r="G21" i="4"/>
  <c r="G24" i="4"/>
  <c r="G23" i="4" s="1"/>
  <c r="F15" i="4"/>
  <c r="F16" i="4" s="1"/>
  <c r="G84" i="4"/>
  <c r="G81" i="4"/>
  <c r="G75" i="4"/>
  <c r="G127" i="4"/>
  <c r="G128" i="4" s="1"/>
  <c r="I52" i="4"/>
  <c r="I43" i="1"/>
  <c r="I45" i="1" s="1"/>
  <c r="H22" i="4"/>
  <c r="H20" i="4"/>
  <c r="H115" i="4"/>
  <c r="H109" i="4"/>
  <c r="H118" i="4"/>
  <c r="H78" i="4"/>
  <c r="H76" i="4"/>
  <c r="G35" i="4"/>
  <c r="G34" i="4" s="1"/>
  <c r="G32" i="4"/>
  <c r="G103" i="4"/>
  <c r="G102" i="4" s="1"/>
  <c r="G100" i="4"/>
  <c r="F82" i="4"/>
  <c r="F83" i="4" s="1"/>
  <c r="J119" i="4"/>
  <c r="J98" i="1"/>
  <c r="J100" i="1" s="1"/>
  <c r="I18" i="4"/>
  <c r="I16" i="1"/>
  <c r="I18" i="1" s="1"/>
  <c r="G40" i="1"/>
  <c r="G41" i="1" s="1"/>
  <c r="H10" i="7"/>
  <c r="I5" i="27"/>
  <c r="G41" i="4"/>
  <c r="G47" i="4"/>
  <c r="G50" i="4"/>
  <c r="G68" i="1"/>
  <c r="G69" i="1" s="1"/>
  <c r="G88" i="4"/>
  <c r="G91" i="4"/>
  <c r="G90" i="4" s="1"/>
  <c r="H11" i="4"/>
  <c r="H9" i="4"/>
  <c r="F93" i="4"/>
  <c r="F94" i="4" s="1"/>
  <c r="H29" i="1"/>
  <c r="H28" i="1" s="1"/>
  <c r="H33" i="1"/>
  <c r="H30" i="1"/>
  <c r="H26" i="1"/>
  <c r="I74" i="4"/>
  <c r="I62" i="1"/>
  <c r="I64" i="1" s="1"/>
  <c r="H99" i="4"/>
  <c r="H101" i="4"/>
  <c r="H76" i="1"/>
  <c r="H72" i="1"/>
  <c r="H79" i="1"/>
  <c r="H75" i="1"/>
  <c r="H74" i="1" s="1"/>
  <c r="G58" i="1"/>
  <c r="G59" i="1" s="1"/>
  <c r="G59" i="4"/>
  <c r="G62" i="4"/>
  <c r="G53" i="4"/>
  <c r="H54" i="4"/>
  <c r="H56" i="4"/>
  <c r="G116" i="4"/>
  <c r="G117" i="4" s="1"/>
  <c r="I9" i="27"/>
  <c r="H14" i="7"/>
  <c r="I97" i="4"/>
  <c r="I80" i="1"/>
  <c r="I82" i="1" s="1"/>
  <c r="H9" i="7"/>
  <c r="I4" i="27"/>
  <c r="H60" i="1"/>
  <c r="H53" i="1"/>
  <c r="H57" i="1"/>
  <c r="H56" i="1"/>
  <c r="H55" i="1" s="1"/>
  <c r="H20" i="7"/>
  <c r="I15" i="27"/>
  <c r="H42" i="1"/>
  <c r="H38" i="1"/>
  <c r="H37" i="1" s="1"/>
  <c r="H39" i="1"/>
  <c r="H35" i="1"/>
  <c r="F48" i="4"/>
  <c r="F49" i="4" s="1"/>
  <c r="G80" i="4"/>
  <c r="G79" i="4" s="1"/>
  <c r="G77" i="4"/>
  <c r="G66" i="4"/>
  <c r="G69" i="4"/>
  <c r="G68" i="4" s="1"/>
  <c r="I8" i="27"/>
  <c r="H13" i="7"/>
  <c r="H17" i="1"/>
  <c r="H21" i="1"/>
  <c r="H24" i="1"/>
  <c r="H20" i="1"/>
  <c r="H19" i="1" s="1"/>
  <c r="J14" i="27"/>
  <c r="I19" i="7"/>
  <c r="G58" i="4"/>
  <c r="G57" i="4" s="1"/>
  <c r="G55" i="4"/>
  <c r="I103" i="1"/>
  <c r="I99" i="1"/>
  <c r="I102" i="1"/>
  <c r="I101" i="1" s="1"/>
  <c r="I106" i="1"/>
  <c r="H42" i="4"/>
  <c r="H44" i="4"/>
  <c r="G131" i="4"/>
  <c r="G137" i="4"/>
  <c r="G140" i="4"/>
  <c r="I71" i="1"/>
  <c r="I73" i="1" s="1"/>
  <c r="I85" i="4"/>
  <c r="H111" i="4"/>
  <c r="H114" i="4"/>
  <c r="H113" i="4" s="1"/>
  <c r="I25" i="1"/>
  <c r="I27" i="1" s="1"/>
  <c r="I29" i="4"/>
  <c r="I90" i="1"/>
  <c r="I97" i="1"/>
  <c r="I93" i="1"/>
  <c r="I92" i="1" s="1"/>
  <c r="I94" i="1"/>
  <c r="H125" i="4"/>
  <c r="H124" i="4" s="1"/>
  <c r="H122" i="4"/>
  <c r="H63" i="1"/>
  <c r="H70" i="1"/>
  <c r="H66" i="1"/>
  <c r="H65" i="1" s="1"/>
  <c r="H67" i="1"/>
  <c r="G13" i="4"/>
  <c r="G12" i="4" s="1"/>
  <c r="G10" i="4"/>
  <c r="I7" i="27"/>
  <c r="H12" i="7"/>
  <c r="G86" i="1"/>
  <c r="G87" i="1" s="1"/>
  <c r="F60" i="4"/>
  <c r="F61" i="4" s="1"/>
  <c r="I123" i="4"/>
  <c r="I121" i="4"/>
  <c r="J108" i="4"/>
  <c r="J89" i="1"/>
  <c r="J91" i="1" s="1"/>
  <c r="G19" i="4"/>
  <c r="G25" i="4"/>
  <c r="G28" i="4"/>
  <c r="H104" i="1"/>
  <c r="H105" i="1" s="1"/>
  <c r="G30" i="4"/>
  <c r="G36" i="4"/>
  <c r="G39" i="4"/>
  <c r="G77" i="1"/>
  <c r="G78" i="1" s="1"/>
  <c r="F37" i="4"/>
  <c r="F38" i="4" s="1"/>
  <c r="G136" i="4"/>
  <c r="G135" i="4" s="1"/>
  <c r="G133" i="4"/>
  <c r="G98" i="4"/>
  <c r="G107" i="4"/>
  <c r="G104" i="4"/>
  <c r="G105" i="4" l="1"/>
  <c r="G106" i="4" s="1"/>
  <c r="G138" i="4"/>
  <c r="G139" i="4" s="1"/>
  <c r="H49" i="1"/>
  <c r="H50" i="1" s="1"/>
  <c r="H127" i="4"/>
  <c r="H128" i="4" s="1"/>
  <c r="H113" i="1"/>
  <c r="H114" i="1" s="1"/>
  <c r="H68" i="1"/>
  <c r="H69" i="1" s="1"/>
  <c r="H116" i="4"/>
  <c r="H117" i="4" s="1"/>
  <c r="I33" i="4"/>
  <c r="I31" i="4"/>
  <c r="J8" i="27"/>
  <c r="I13" i="7"/>
  <c r="I9" i="7"/>
  <c r="J4" i="27"/>
  <c r="H62" i="4"/>
  <c r="H59" i="4"/>
  <c r="H53" i="4"/>
  <c r="I76" i="4"/>
  <c r="I78" i="4"/>
  <c r="H24" i="4"/>
  <c r="H23" i="4" s="1"/>
  <c r="H21" i="4"/>
  <c r="G82" i="4"/>
  <c r="G83" i="4" s="1"/>
  <c r="I15" i="1"/>
  <c r="I12" i="1"/>
  <c r="I8" i="1"/>
  <c r="I11" i="1"/>
  <c r="I10" i="1" s="1"/>
  <c r="H88" i="4"/>
  <c r="H91" i="4"/>
  <c r="H90" i="4" s="1"/>
  <c r="H131" i="4"/>
  <c r="H137" i="4"/>
  <c r="H140" i="4"/>
  <c r="J112" i="4"/>
  <c r="J110" i="4"/>
  <c r="I79" i="1"/>
  <c r="I72" i="1"/>
  <c r="I76" i="1"/>
  <c r="I75" i="1"/>
  <c r="I74" i="1" s="1"/>
  <c r="I104" i="1"/>
  <c r="I105" i="1" s="1"/>
  <c r="J7" i="4"/>
  <c r="J7" i="1"/>
  <c r="J9" i="1" s="1"/>
  <c r="J9" i="27"/>
  <c r="I14" i="7"/>
  <c r="G60" i="4"/>
  <c r="G61" i="4" s="1"/>
  <c r="H103" i="4"/>
  <c r="H102" i="4" s="1"/>
  <c r="H100" i="4"/>
  <c r="H31" i="1"/>
  <c r="H32" i="1" s="1"/>
  <c r="I21" i="1"/>
  <c r="I24" i="1"/>
  <c r="I17" i="1"/>
  <c r="I20" i="1"/>
  <c r="I19" i="1" s="1"/>
  <c r="I51" i="1"/>
  <c r="I47" i="1"/>
  <c r="I46" i="1" s="1"/>
  <c r="I44" i="1"/>
  <c r="I48" i="1"/>
  <c r="H70" i="4"/>
  <c r="H64" i="4"/>
  <c r="H73" i="4"/>
  <c r="I44" i="4"/>
  <c r="I42" i="4"/>
  <c r="H35" i="4"/>
  <c r="H34" i="4" s="1"/>
  <c r="H32" i="4"/>
  <c r="K89" i="1"/>
  <c r="K91" i="1" s="1"/>
  <c r="K108" i="4"/>
  <c r="J6" i="27"/>
  <c r="I11" i="7"/>
  <c r="G37" i="4"/>
  <c r="G38" i="4" s="1"/>
  <c r="G26" i="4"/>
  <c r="G27" i="4" s="1"/>
  <c r="I125" i="4"/>
  <c r="I124" i="4" s="1"/>
  <c r="I122" i="4"/>
  <c r="J7" i="27"/>
  <c r="I12" i="7"/>
  <c r="I95" i="1"/>
  <c r="I96" i="1" s="1"/>
  <c r="J43" i="1"/>
  <c r="J45" i="1" s="1"/>
  <c r="J52" i="4"/>
  <c r="J107" i="1"/>
  <c r="J109" i="1" s="1"/>
  <c r="J130" i="4"/>
  <c r="I101" i="4"/>
  <c r="I99" i="4"/>
  <c r="H55" i="4"/>
  <c r="H58" i="4"/>
  <c r="H57" i="4" s="1"/>
  <c r="H77" i="1"/>
  <c r="H78" i="1" s="1"/>
  <c r="I66" i="1"/>
  <c r="I65" i="1" s="1"/>
  <c r="I63" i="1"/>
  <c r="I67" i="1"/>
  <c r="I70" i="1"/>
  <c r="H10" i="4"/>
  <c r="H13" i="4"/>
  <c r="H12" i="4" s="1"/>
  <c r="J18" i="4"/>
  <c r="J16" i="1"/>
  <c r="J18" i="1" s="1"/>
  <c r="J99" i="1"/>
  <c r="J106" i="1"/>
  <c r="J102" i="1"/>
  <c r="J101" i="1" s="1"/>
  <c r="J103" i="1"/>
  <c r="H80" i="4"/>
  <c r="H79" i="4" s="1"/>
  <c r="H77" i="4"/>
  <c r="H25" i="4"/>
  <c r="H28" i="4"/>
  <c r="H19" i="4"/>
  <c r="I112" i="1"/>
  <c r="I111" i="1"/>
  <c r="I110" i="1" s="1"/>
  <c r="I115" i="1"/>
  <c r="I108" i="1"/>
  <c r="I9" i="4"/>
  <c r="I11" i="4"/>
  <c r="J80" i="1"/>
  <c r="J82" i="1" s="1"/>
  <c r="J97" i="4"/>
  <c r="H86" i="4"/>
  <c r="H95" i="4"/>
  <c r="H92" i="4"/>
  <c r="I16" i="7"/>
  <c r="J11" i="27"/>
  <c r="H13" i="1"/>
  <c r="H14" i="1" s="1"/>
  <c r="H133" i="4"/>
  <c r="H136" i="4"/>
  <c r="H135" i="4" s="1"/>
  <c r="G71" i="4"/>
  <c r="G72" i="4" s="1"/>
  <c r="I118" i="4"/>
  <c r="I115" i="4"/>
  <c r="I109" i="4"/>
  <c r="G93" i="4"/>
  <c r="G94" i="4" s="1"/>
  <c r="J93" i="1"/>
  <c r="J92" i="1" s="1"/>
  <c r="J94" i="1"/>
  <c r="J97" i="1"/>
  <c r="J90" i="1"/>
  <c r="I89" i="4"/>
  <c r="I87" i="4"/>
  <c r="J63" i="4"/>
  <c r="J52" i="1"/>
  <c r="J54" i="1" s="1"/>
  <c r="J121" i="4"/>
  <c r="J123" i="4"/>
  <c r="J12" i="27"/>
  <c r="I17" i="7"/>
  <c r="J85" i="4"/>
  <c r="J71" i="1"/>
  <c r="J73" i="1" s="1"/>
  <c r="G15" i="4"/>
  <c r="G16" i="4" s="1"/>
  <c r="J25" i="1"/>
  <c r="J27" i="1" s="1"/>
  <c r="J29" i="4"/>
  <c r="I33" i="1"/>
  <c r="I26" i="1"/>
  <c r="I29" i="1"/>
  <c r="I28" i="1" s="1"/>
  <c r="I30" i="1"/>
  <c r="H43" i="4"/>
  <c r="H46" i="4"/>
  <c r="H45" i="4" s="1"/>
  <c r="K119" i="4"/>
  <c r="K98" i="1"/>
  <c r="K100" i="1" s="1"/>
  <c r="G48" i="4"/>
  <c r="G49" i="4" s="1"/>
  <c r="I57" i="1"/>
  <c r="I56" i="1"/>
  <c r="I55" i="1" s="1"/>
  <c r="I53" i="1"/>
  <c r="I60" i="1"/>
  <c r="H86" i="1"/>
  <c r="H87" i="1" s="1"/>
  <c r="J10" i="27"/>
  <c r="I15" i="7"/>
  <c r="I120" i="4"/>
  <c r="I126" i="4"/>
  <c r="I129" i="4"/>
  <c r="J40" i="4"/>
  <c r="J34" i="1"/>
  <c r="J36" i="1" s="1"/>
  <c r="H41" i="4"/>
  <c r="H50" i="4"/>
  <c r="H47" i="4"/>
  <c r="K14" i="27"/>
  <c r="K19" i="7" s="1"/>
  <c r="J19" i="7"/>
  <c r="H22" i="1"/>
  <c r="H23" i="1" s="1"/>
  <c r="H40" i="1"/>
  <c r="H41" i="1" s="1"/>
  <c r="J15" i="27"/>
  <c r="I20" i="7"/>
  <c r="H58" i="1"/>
  <c r="H59" i="1" s="1"/>
  <c r="I88" i="1"/>
  <c r="I81" i="1"/>
  <c r="I85" i="1"/>
  <c r="I84" i="1"/>
  <c r="I83" i="1" s="1"/>
  <c r="H107" i="4"/>
  <c r="H98" i="4"/>
  <c r="H104" i="4"/>
  <c r="H8" i="4"/>
  <c r="H14" i="4"/>
  <c r="H17" i="4"/>
  <c r="I10" i="7"/>
  <c r="J5" i="27"/>
  <c r="I20" i="4"/>
  <c r="I22" i="4"/>
  <c r="H75" i="4"/>
  <c r="H84" i="4"/>
  <c r="H81" i="4"/>
  <c r="I56" i="4"/>
  <c r="I54" i="4"/>
  <c r="I134" i="4"/>
  <c r="I132" i="4"/>
  <c r="H69" i="4"/>
  <c r="H68" i="4" s="1"/>
  <c r="H66" i="4"/>
  <c r="I38" i="1"/>
  <c r="I37" i="1" s="1"/>
  <c r="I35" i="1"/>
  <c r="I39" i="1"/>
  <c r="I42" i="1"/>
  <c r="I67" i="4"/>
  <c r="I65" i="4"/>
  <c r="J74" i="4"/>
  <c r="J62" i="1"/>
  <c r="J64" i="1" s="1"/>
  <c r="H30" i="4"/>
  <c r="H39" i="4"/>
  <c r="H36" i="4"/>
  <c r="K13" i="27"/>
  <c r="K18" i="7" s="1"/>
  <c r="J18" i="7"/>
  <c r="I111" i="4"/>
  <c r="I114" i="4"/>
  <c r="I113" i="4" s="1"/>
  <c r="H37" i="4" l="1"/>
  <c r="H38" i="4" s="1"/>
  <c r="H15" i="4"/>
  <c r="H16" i="4" s="1"/>
  <c r="J95" i="1"/>
  <c r="J96" i="1" s="1"/>
  <c r="H93" i="4"/>
  <c r="H94" i="4" s="1"/>
  <c r="I68" i="1"/>
  <c r="I69" i="1" s="1"/>
  <c r="I77" i="1"/>
  <c r="I78" i="1" s="1"/>
  <c r="H48" i="4"/>
  <c r="H49" i="4" s="1"/>
  <c r="I116" i="4"/>
  <c r="I117" i="4" s="1"/>
  <c r="H26" i="4"/>
  <c r="H27" i="4" s="1"/>
  <c r="J104" i="1"/>
  <c r="J105" i="1" s="1"/>
  <c r="I66" i="4"/>
  <c r="I69" i="4"/>
  <c r="I68" i="4" s="1"/>
  <c r="I133" i="4"/>
  <c r="I136" i="4"/>
  <c r="I135" i="4" s="1"/>
  <c r="J15" i="7"/>
  <c r="K10" i="27"/>
  <c r="K15" i="7" s="1"/>
  <c r="J30" i="1"/>
  <c r="J29" i="1"/>
  <c r="J28" i="1" s="1"/>
  <c r="J26" i="1"/>
  <c r="J33" i="1"/>
  <c r="J57" i="1"/>
  <c r="J56" i="1"/>
  <c r="J55" i="1" s="1"/>
  <c r="J60" i="1"/>
  <c r="J53" i="1"/>
  <c r="K40" i="4"/>
  <c r="K34" i="1"/>
  <c r="K36" i="1" s="1"/>
  <c r="K110" i="4"/>
  <c r="K112" i="4"/>
  <c r="I47" i="4"/>
  <c r="I50" i="4"/>
  <c r="I41" i="4"/>
  <c r="J9" i="4"/>
  <c r="J11" i="4"/>
  <c r="I80" i="4"/>
  <c r="I79" i="4" s="1"/>
  <c r="I77" i="4"/>
  <c r="J13" i="7"/>
  <c r="K8" i="27"/>
  <c r="K13" i="7" s="1"/>
  <c r="J70" i="1"/>
  <c r="J63" i="1"/>
  <c r="J66" i="1"/>
  <c r="J65" i="1" s="1"/>
  <c r="J67" i="1"/>
  <c r="I62" i="4"/>
  <c r="I53" i="4"/>
  <c r="I59" i="4"/>
  <c r="K18" i="4"/>
  <c r="K16" i="1"/>
  <c r="K18" i="1" s="1"/>
  <c r="L119" i="4"/>
  <c r="L98" i="1"/>
  <c r="L100" i="1" s="1"/>
  <c r="J65" i="4"/>
  <c r="J67" i="4"/>
  <c r="K85" i="4"/>
  <c r="K71" i="1"/>
  <c r="K73" i="1" s="1"/>
  <c r="J54" i="4"/>
  <c r="J56" i="4"/>
  <c r="I46" i="4"/>
  <c r="I45" i="4" s="1"/>
  <c r="I43" i="4"/>
  <c r="I70" i="4"/>
  <c r="I64" i="4"/>
  <c r="I73" i="4"/>
  <c r="I40" i="1"/>
  <c r="I41" i="1" s="1"/>
  <c r="I131" i="4"/>
  <c r="I137" i="4"/>
  <c r="I140" i="4"/>
  <c r="I19" i="4"/>
  <c r="I25" i="4"/>
  <c r="I28" i="4"/>
  <c r="J44" i="4"/>
  <c r="J42" i="4"/>
  <c r="K74" i="4"/>
  <c r="K62" i="1"/>
  <c r="K64" i="1" s="1"/>
  <c r="I58" i="1"/>
  <c r="I59" i="1" s="1"/>
  <c r="K99" i="1"/>
  <c r="K103" i="1"/>
  <c r="K102" i="1"/>
  <c r="K101" i="1" s="1"/>
  <c r="K106" i="1"/>
  <c r="J31" i="4"/>
  <c r="J33" i="4"/>
  <c r="J87" i="4"/>
  <c r="J89" i="4"/>
  <c r="J120" i="4"/>
  <c r="J126" i="4"/>
  <c r="J129" i="4"/>
  <c r="I88" i="4"/>
  <c r="I91" i="4"/>
  <c r="I90" i="4" s="1"/>
  <c r="I13" i="4"/>
  <c r="I12" i="4" s="1"/>
  <c r="I10" i="4"/>
  <c r="J22" i="4"/>
  <c r="J20" i="4"/>
  <c r="J132" i="4"/>
  <c r="J134" i="4"/>
  <c r="J11" i="7"/>
  <c r="K6" i="27"/>
  <c r="K11" i="7" s="1"/>
  <c r="H71" i="4"/>
  <c r="H72" i="4" s="1"/>
  <c r="J8" i="1"/>
  <c r="J15" i="1"/>
  <c r="J12" i="1"/>
  <c r="J11" i="1"/>
  <c r="J10" i="1" s="1"/>
  <c r="J114" i="4"/>
  <c r="J113" i="4" s="1"/>
  <c r="J111" i="4"/>
  <c r="K43" i="1"/>
  <c r="K45" i="1" s="1"/>
  <c r="K52" i="4"/>
  <c r="L108" i="4"/>
  <c r="L89" i="1"/>
  <c r="L91" i="1" s="1"/>
  <c r="K5" i="27"/>
  <c r="K10" i="7" s="1"/>
  <c r="J10" i="7"/>
  <c r="K123" i="4"/>
  <c r="K121" i="4"/>
  <c r="K80" i="1"/>
  <c r="K82" i="1" s="1"/>
  <c r="K97" i="4"/>
  <c r="K11" i="27"/>
  <c r="K16" i="7" s="1"/>
  <c r="J16" i="7"/>
  <c r="I8" i="4"/>
  <c r="I14" i="4"/>
  <c r="I17" i="4"/>
  <c r="J115" i="1"/>
  <c r="J111" i="1"/>
  <c r="J110" i="1" s="1"/>
  <c r="J112" i="1"/>
  <c r="J108" i="1"/>
  <c r="M89" i="1"/>
  <c r="M91" i="1" s="1"/>
  <c r="M108" i="4"/>
  <c r="H82" i="4"/>
  <c r="H83" i="4" s="1"/>
  <c r="K130" i="4"/>
  <c r="K107" i="1"/>
  <c r="K109" i="1" s="1"/>
  <c r="I31" i="1"/>
  <c r="I32" i="1" s="1"/>
  <c r="K12" i="27"/>
  <c r="K17" i="7" s="1"/>
  <c r="J17" i="7"/>
  <c r="J99" i="4"/>
  <c r="J101" i="4"/>
  <c r="I113" i="1"/>
  <c r="I114" i="1" s="1"/>
  <c r="I107" i="4"/>
  <c r="I98" i="4"/>
  <c r="I104" i="4"/>
  <c r="J12" i="7"/>
  <c r="K7" i="27"/>
  <c r="K12" i="7" s="1"/>
  <c r="K97" i="1"/>
  <c r="K94" i="1"/>
  <c r="K90" i="1"/>
  <c r="K93" i="1"/>
  <c r="K92" i="1" s="1"/>
  <c r="K63" i="4"/>
  <c r="K52" i="1"/>
  <c r="K54" i="1" s="1"/>
  <c r="I75" i="4"/>
  <c r="I82" i="4" s="1"/>
  <c r="I83" i="4" s="1"/>
  <c r="I84" i="4"/>
  <c r="I81" i="4"/>
  <c r="K4" i="27"/>
  <c r="K9" i="7" s="1"/>
  <c r="J9" i="7"/>
  <c r="I39" i="4"/>
  <c r="I36" i="4"/>
  <c r="I30" i="4"/>
  <c r="J76" i="4"/>
  <c r="J78" i="4"/>
  <c r="I58" i="4"/>
  <c r="I57" i="4" s="1"/>
  <c r="I55" i="4"/>
  <c r="I24" i="4"/>
  <c r="I23" i="4" s="1"/>
  <c r="I21" i="4"/>
  <c r="H105" i="4"/>
  <c r="H106" i="4" s="1"/>
  <c r="I86" i="1"/>
  <c r="I87" i="1" s="1"/>
  <c r="J20" i="7"/>
  <c r="K15" i="27"/>
  <c r="K20" i="7" s="1"/>
  <c r="M119" i="4"/>
  <c r="M98" i="1"/>
  <c r="M100" i="1" s="1"/>
  <c r="J39" i="1"/>
  <c r="J35" i="1"/>
  <c r="J42" i="1"/>
  <c r="J38" i="1"/>
  <c r="J37" i="1" s="1"/>
  <c r="I127" i="4"/>
  <c r="I128" i="4" s="1"/>
  <c r="J72" i="1"/>
  <c r="J76" i="1"/>
  <c r="J79" i="1"/>
  <c r="J75" i="1"/>
  <c r="J74" i="1" s="1"/>
  <c r="J125" i="4"/>
  <c r="J124" i="4" s="1"/>
  <c r="J122" i="4"/>
  <c r="I86" i="4"/>
  <c r="I92" i="4"/>
  <c r="I95" i="4"/>
  <c r="J81" i="1"/>
  <c r="J88" i="1"/>
  <c r="J84" i="1"/>
  <c r="J83" i="1" s="1"/>
  <c r="J85" i="1"/>
  <c r="J17" i="1"/>
  <c r="J20" i="1"/>
  <c r="J19" i="1" s="1"/>
  <c r="J21" i="1"/>
  <c r="J24" i="1"/>
  <c r="I103" i="4"/>
  <c r="I102" i="4" s="1"/>
  <c r="I100" i="4"/>
  <c r="J44" i="1"/>
  <c r="J51" i="1"/>
  <c r="J48" i="1"/>
  <c r="J47" i="1"/>
  <c r="J46" i="1" s="1"/>
  <c r="K25" i="1"/>
  <c r="K27" i="1" s="1"/>
  <c r="K29" i="4"/>
  <c r="I49" i="1"/>
  <c r="I50" i="1" s="1"/>
  <c r="I22" i="1"/>
  <c r="I23" i="1" s="1"/>
  <c r="J14" i="7"/>
  <c r="K9" i="27"/>
  <c r="K14" i="7" s="1"/>
  <c r="J118" i="4"/>
  <c r="J115" i="4"/>
  <c r="J109" i="4"/>
  <c r="J116" i="4" s="1"/>
  <c r="J117" i="4" s="1"/>
  <c r="H138" i="4"/>
  <c r="H139" i="4" s="1"/>
  <c r="I13" i="1"/>
  <c r="I14" i="1" s="1"/>
  <c r="H60" i="4"/>
  <c r="H61" i="4" s="1"/>
  <c r="K7" i="1"/>
  <c r="K9" i="1" s="1"/>
  <c r="K7" i="4"/>
  <c r="I35" i="4"/>
  <c r="I34" i="4" s="1"/>
  <c r="I32" i="4"/>
  <c r="J49" i="1" l="1"/>
  <c r="J50" i="1" s="1"/>
  <c r="K95" i="1"/>
  <c r="K96" i="1" s="1"/>
  <c r="I138" i="4"/>
  <c r="I139" i="4" s="1"/>
  <c r="K30" i="1"/>
  <c r="K33" i="1"/>
  <c r="K29" i="1"/>
  <c r="K28" i="1" s="1"/>
  <c r="K26" i="1"/>
  <c r="L40" i="4"/>
  <c r="L34" i="1"/>
  <c r="L36" i="1" s="1"/>
  <c r="J35" i="4"/>
  <c r="J34" i="4" s="1"/>
  <c r="J32" i="4"/>
  <c r="K78" i="4"/>
  <c r="K76" i="4"/>
  <c r="J53" i="4"/>
  <c r="J62" i="4"/>
  <c r="J59" i="4"/>
  <c r="M52" i="4"/>
  <c r="M43" i="1"/>
  <c r="M45" i="1" s="1"/>
  <c r="J13" i="4"/>
  <c r="J12" i="4" s="1"/>
  <c r="J10" i="4"/>
  <c r="K44" i="4"/>
  <c r="K42" i="4"/>
  <c r="I93" i="4"/>
  <c r="I94" i="4" s="1"/>
  <c r="M99" i="1"/>
  <c r="M106" i="1"/>
  <c r="M102" i="1"/>
  <c r="M101" i="1" s="1"/>
  <c r="M103" i="1"/>
  <c r="I37" i="4"/>
  <c r="I38" i="4" s="1"/>
  <c r="K56" i="1"/>
  <c r="K55" i="1" s="1"/>
  <c r="K57" i="1"/>
  <c r="K53" i="1"/>
  <c r="K60" i="1"/>
  <c r="J100" i="4"/>
  <c r="J103" i="4"/>
  <c r="J102" i="4" s="1"/>
  <c r="M110" i="4"/>
  <c r="M112" i="4"/>
  <c r="I15" i="4"/>
  <c r="I16" i="4" s="1"/>
  <c r="M16" i="1"/>
  <c r="M18" i="1" s="1"/>
  <c r="M18" i="4"/>
  <c r="J127" i="4"/>
  <c r="J128" i="4" s="1"/>
  <c r="K104" i="1"/>
  <c r="K105" i="1" s="1"/>
  <c r="L106" i="1"/>
  <c r="L103" i="1"/>
  <c r="L99" i="1"/>
  <c r="L102" i="1"/>
  <c r="L101" i="1" s="1"/>
  <c r="K9" i="4"/>
  <c r="K11" i="4"/>
  <c r="M52" i="1"/>
  <c r="M54" i="1" s="1"/>
  <c r="M63" i="4"/>
  <c r="K33" i="4"/>
  <c r="K31" i="4"/>
  <c r="J77" i="1"/>
  <c r="J78" i="1" s="1"/>
  <c r="J40" i="1"/>
  <c r="J41" i="1" s="1"/>
  <c r="M130" i="4"/>
  <c r="M107" i="1"/>
  <c r="M109" i="1" s="1"/>
  <c r="J80" i="4"/>
  <c r="J79" i="4" s="1"/>
  <c r="J77" i="4"/>
  <c r="M34" i="1"/>
  <c r="M36" i="1" s="1"/>
  <c r="M40" i="4"/>
  <c r="L80" i="1"/>
  <c r="L82" i="1" s="1"/>
  <c r="L97" i="4"/>
  <c r="K132" i="4"/>
  <c r="K134" i="4"/>
  <c r="J113" i="1"/>
  <c r="J114" i="1" s="1"/>
  <c r="M85" i="4"/>
  <c r="M71" i="1"/>
  <c r="M73" i="1" s="1"/>
  <c r="K122" i="4"/>
  <c r="K125" i="4"/>
  <c r="K124" i="4" s="1"/>
  <c r="L110" i="4"/>
  <c r="L112" i="4"/>
  <c r="J13" i="1"/>
  <c r="J14" i="1" s="1"/>
  <c r="J136" i="4"/>
  <c r="J135" i="4" s="1"/>
  <c r="J133" i="4"/>
  <c r="J86" i="4"/>
  <c r="J92" i="4"/>
  <c r="J95" i="4"/>
  <c r="K67" i="1"/>
  <c r="K63" i="1"/>
  <c r="K66" i="1"/>
  <c r="K65" i="1" s="1"/>
  <c r="K70" i="1"/>
  <c r="I71" i="4"/>
  <c r="I72" i="4" s="1"/>
  <c r="J58" i="4"/>
  <c r="J57" i="4" s="1"/>
  <c r="J55" i="4"/>
  <c r="J66" i="4"/>
  <c r="J69" i="4"/>
  <c r="J68" i="4" s="1"/>
  <c r="K17" i="1"/>
  <c r="K21" i="1"/>
  <c r="K24" i="1"/>
  <c r="K20" i="1"/>
  <c r="K19" i="1" s="1"/>
  <c r="K38" i="1"/>
  <c r="K37" i="1" s="1"/>
  <c r="K35" i="1"/>
  <c r="K42" i="1"/>
  <c r="K39" i="1"/>
  <c r="K12" i="1"/>
  <c r="K15" i="1"/>
  <c r="K11" i="1"/>
  <c r="K10" i="1" s="1"/>
  <c r="K8" i="1"/>
  <c r="L52" i="1"/>
  <c r="L54" i="1" s="1"/>
  <c r="L63" i="4"/>
  <c r="L130" i="4"/>
  <c r="L107" i="1"/>
  <c r="L109" i="1" s="1"/>
  <c r="J75" i="4"/>
  <c r="J81" i="4"/>
  <c r="J84" i="4"/>
  <c r="L7" i="1"/>
  <c r="L9" i="1" s="1"/>
  <c r="L7" i="4"/>
  <c r="M97" i="4"/>
  <c r="M80" i="1"/>
  <c r="M82" i="1" s="1"/>
  <c r="K101" i="4"/>
  <c r="K99" i="4"/>
  <c r="L18" i="4"/>
  <c r="L16" i="1"/>
  <c r="L18" i="1" s="1"/>
  <c r="K54" i="4"/>
  <c r="K56" i="4"/>
  <c r="J137" i="4"/>
  <c r="J140" i="4"/>
  <c r="J131" i="4"/>
  <c r="J70" i="4"/>
  <c r="J73" i="4"/>
  <c r="J64" i="4"/>
  <c r="K20" i="4"/>
  <c r="K22" i="4"/>
  <c r="M7" i="4"/>
  <c r="M7" i="1"/>
  <c r="M9" i="1" s="1"/>
  <c r="K84" i="1"/>
  <c r="K83" i="1" s="1"/>
  <c r="K88" i="1"/>
  <c r="K81" i="1"/>
  <c r="K85" i="1"/>
  <c r="K44" i="1"/>
  <c r="K47" i="1"/>
  <c r="K46" i="1" s="1"/>
  <c r="K51" i="1"/>
  <c r="K48" i="1"/>
  <c r="M25" i="1"/>
  <c r="M27" i="1" s="1"/>
  <c r="M29" i="4"/>
  <c r="J28" i="4"/>
  <c r="J25" i="4"/>
  <c r="J19" i="4"/>
  <c r="J36" i="4"/>
  <c r="J30" i="4"/>
  <c r="J39" i="4"/>
  <c r="J50" i="4"/>
  <c r="J41" i="4"/>
  <c r="J47" i="4"/>
  <c r="I26" i="4"/>
  <c r="I27" i="4" s="1"/>
  <c r="K76" i="1"/>
  <c r="K79" i="1"/>
  <c r="K72" i="1"/>
  <c r="K75" i="1"/>
  <c r="K74" i="1" s="1"/>
  <c r="L52" i="4"/>
  <c r="L43" i="1"/>
  <c r="L45" i="1" s="1"/>
  <c r="J8" i="4"/>
  <c r="J14" i="4"/>
  <c r="J17" i="4"/>
  <c r="K114" i="4"/>
  <c r="K113" i="4" s="1"/>
  <c r="K111" i="4"/>
  <c r="J58" i="1"/>
  <c r="J59" i="1" s="1"/>
  <c r="M74" i="4"/>
  <c r="M62" i="1"/>
  <c r="M64" i="1" s="1"/>
  <c r="J22" i="1"/>
  <c r="J23" i="1" s="1"/>
  <c r="J86" i="1"/>
  <c r="J87" i="1" s="1"/>
  <c r="M121" i="4"/>
  <c r="M123" i="4"/>
  <c r="K67" i="4"/>
  <c r="K65" i="4"/>
  <c r="I105" i="4"/>
  <c r="I106" i="4" s="1"/>
  <c r="J107" i="4"/>
  <c r="J104" i="4"/>
  <c r="J98" i="4"/>
  <c r="K111" i="1"/>
  <c r="K110" i="1" s="1"/>
  <c r="K112" i="1"/>
  <c r="K115" i="1"/>
  <c r="K108" i="1"/>
  <c r="M94" i="1"/>
  <c r="M90" i="1"/>
  <c r="M97" i="1"/>
  <c r="M93" i="1"/>
  <c r="M92" i="1" s="1"/>
  <c r="L85" i="4"/>
  <c r="L71" i="1"/>
  <c r="L73" i="1" s="1"/>
  <c r="K129" i="4"/>
  <c r="K120" i="4"/>
  <c r="K126" i="4"/>
  <c r="L97" i="1"/>
  <c r="L90" i="1"/>
  <c r="L93" i="1"/>
  <c r="L92" i="1" s="1"/>
  <c r="L94" i="1"/>
  <c r="L29" i="4"/>
  <c r="L25" i="1"/>
  <c r="L27" i="1" s="1"/>
  <c r="J21" i="4"/>
  <c r="J24" i="4"/>
  <c r="J23" i="4" s="1"/>
  <c r="J91" i="4"/>
  <c r="J90" i="4" s="1"/>
  <c r="J88" i="4"/>
  <c r="J43" i="4"/>
  <c r="J46" i="4"/>
  <c r="J45" i="4" s="1"/>
  <c r="K87" i="4"/>
  <c r="K89" i="4"/>
  <c r="L123" i="4"/>
  <c r="L121" i="4"/>
  <c r="I60" i="4"/>
  <c r="I61" i="4" s="1"/>
  <c r="J68" i="1"/>
  <c r="J69" i="1" s="1"/>
  <c r="I48" i="4"/>
  <c r="I49" i="4" s="1"/>
  <c r="K118" i="4"/>
  <c r="K109" i="4"/>
  <c r="K115" i="4"/>
  <c r="J31" i="1"/>
  <c r="J32" i="1" s="1"/>
  <c r="L74" i="4"/>
  <c r="L62" i="1"/>
  <c r="L64" i="1" s="1"/>
  <c r="J48" i="4" l="1"/>
  <c r="J49" i="4" s="1"/>
  <c r="J82" i="4"/>
  <c r="J83" i="4" s="1"/>
  <c r="K22" i="1"/>
  <c r="K23" i="1" s="1"/>
  <c r="K68" i="1"/>
  <c r="K69" i="1" s="1"/>
  <c r="K116" i="4"/>
  <c r="K117" i="4" s="1"/>
  <c r="M95" i="1"/>
  <c r="M96" i="1" s="1"/>
  <c r="J138" i="4"/>
  <c r="J139" i="4" s="1"/>
  <c r="K86" i="4"/>
  <c r="K92" i="4"/>
  <c r="K95" i="4"/>
  <c r="L33" i="4"/>
  <c r="L31" i="4"/>
  <c r="M31" i="4"/>
  <c r="M33" i="4"/>
  <c r="K104" i="4"/>
  <c r="K107" i="4"/>
  <c r="K98" i="4"/>
  <c r="L11" i="4"/>
  <c r="L9" i="4"/>
  <c r="L56" i="1"/>
  <c r="L55" i="1" s="1"/>
  <c r="L57" i="1"/>
  <c r="L53" i="1"/>
  <c r="L60" i="1"/>
  <c r="J93" i="4"/>
  <c r="J94" i="4" s="1"/>
  <c r="L114" i="4"/>
  <c r="L113" i="4" s="1"/>
  <c r="L111" i="4"/>
  <c r="M42" i="1"/>
  <c r="M39" i="1"/>
  <c r="M35" i="1"/>
  <c r="M38" i="1"/>
  <c r="M37" i="1" s="1"/>
  <c r="K32" i="4"/>
  <c r="K35" i="4"/>
  <c r="K34" i="4" s="1"/>
  <c r="M20" i="1"/>
  <c r="M19" i="1" s="1"/>
  <c r="M24" i="1"/>
  <c r="M21" i="1"/>
  <c r="M17" i="1"/>
  <c r="M51" i="1"/>
  <c r="M44" i="1"/>
  <c r="M47" i="1"/>
  <c r="M46" i="1" s="1"/>
  <c r="M48" i="1"/>
  <c r="L76" i="4"/>
  <c r="L78" i="4"/>
  <c r="L129" i="4"/>
  <c r="L126" i="4"/>
  <c r="L120" i="4"/>
  <c r="M129" i="4"/>
  <c r="M120" i="4"/>
  <c r="M126" i="4"/>
  <c r="M76" i="4"/>
  <c r="M78" i="4"/>
  <c r="J26" i="4"/>
  <c r="J27" i="4" s="1"/>
  <c r="M29" i="1"/>
  <c r="M28" i="1" s="1"/>
  <c r="M26" i="1"/>
  <c r="M30" i="1"/>
  <c r="M33" i="1"/>
  <c r="K49" i="1"/>
  <c r="K50" i="1" s="1"/>
  <c r="K19" i="4"/>
  <c r="K25" i="4"/>
  <c r="K28" i="4"/>
  <c r="K53" i="4"/>
  <c r="K62" i="4"/>
  <c r="K59" i="4"/>
  <c r="L15" i="1"/>
  <c r="L12" i="1"/>
  <c r="L11" i="1"/>
  <c r="L10" i="1" s="1"/>
  <c r="L8" i="1"/>
  <c r="K13" i="1"/>
  <c r="K14" i="1" s="1"/>
  <c r="L109" i="4"/>
  <c r="L118" i="4"/>
  <c r="L115" i="4"/>
  <c r="L99" i="4"/>
  <c r="L101" i="4"/>
  <c r="M65" i="4"/>
  <c r="M67" i="4"/>
  <c r="K46" i="4"/>
  <c r="K45" i="4" s="1"/>
  <c r="K43" i="4"/>
  <c r="L35" i="1"/>
  <c r="L42" i="1"/>
  <c r="L39" i="1"/>
  <c r="L38" i="1"/>
  <c r="L37" i="1" s="1"/>
  <c r="L122" i="4"/>
  <c r="L125" i="4"/>
  <c r="L124" i="4" s="1"/>
  <c r="K91" i="4"/>
  <c r="K90" i="4" s="1"/>
  <c r="K88" i="4"/>
  <c r="L26" i="1"/>
  <c r="L33" i="1"/>
  <c r="L29" i="1"/>
  <c r="L28" i="1" s="1"/>
  <c r="L30" i="1"/>
  <c r="L95" i="1"/>
  <c r="L96" i="1" s="1"/>
  <c r="K69" i="4"/>
  <c r="K68" i="4" s="1"/>
  <c r="K66" i="4"/>
  <c r="J15" i="4"/>
  <c r="J16" i="4" s="1"/>
  <c r="K77" i="1"/>
  <c r="K78" i="1" s="1"/>
  <c r="J37" i="4"/>
  <c r="J38" i="4" s="1"/>
  <c r="K86" i="1"/>
  <c r="K87" i="1" s="1"/>
  <c r="M9" i="4"/>
  <c r="M11" i="4"/>
  <c r="L22" i="4"/>
  <c r="L20" i="4"/>
  <c r="M99" i="4"/>
  <c r="M101" i="4"/>
  <c r="L65" i="4"/>
  <c r="L67" i="4"/>
  <c r="K40" i="1"/>
  <c r="K41" i="1" s="1"/>
  <c r="K133" i="4"/>
  <c r="K136" i="4"/>
  <c r="K135" i="4" s="1"/>
  <c r="M42" i="4"/>
  <c r="M44" i="4"/>
  <c r="M108" i="1"/>
  <c r="M112" i="1"/>
  <c r="M115" i="1"/>
  <c r="M111" i="1"/>
  <c r="M110" i="1" s="1"/>
  <c r="K39" i="4"/>
  <c r="K30" i="4"/>
  <c r="K36" i="4"/>
  <c r="K13" i="4"/>
  <c r="K12" i="4" s="1"/>
  <c r="K10" i="4"/>
  <c r="M22" i="4"/>
  <c r="M20" i="4"/>
  <c r="M115" i="4"/>
  <c r="M109" i="4"/>
  <c r="M118" i="4"/>
  <c r="K58" i="1"/>
  <c r="K59" i="1" s="1"/>
  <c r="K31" i="1"/>
  <c r="K32" i="1" s="1"/>
  <c r="L63" i="1"/>
  <c r="L70" i="1"/>
  <c r="L67" i="1"/>
  <c r="L66" i="1"/>
  <c r="L65" i="1" s="1"/>
  <c r="L79" i="1"/>
  <c r="L72" i="1"/>
  <c r="L76" i="1"/>
  <c r="L75" i="1"/>
  <c r="L74" i="1" s="1"/>
  <c r="M122" i="4"/>
  <c r="M125" i="4"/>
  <c r="M124" i="4" s="1"/>
  <c r="M63" i="1"/>
  <c r="M66" i="1"/>
  <c r="M65" i="1" s="1"/>
  <c r="M67" i="1"/>
  <c r="M70" i="1"/>
  <c r="L51" i="1"/>
  <c r="L48" i="1"/>
  <c r="L44" i="1"/>
  <c r="L47" i="1"/>
  <c r="L46" i="1" s="1"/>
  <c r="K24" i="4"/>
  <c r="K23" i="4" s="1"/>
  <c r="K21" i="4"/>
  <c r="K58" i="4"/>
  <c r="K57" i="4" s="1"/>
  <c r="K55" i="4"/>
  <c r="M79" i="1"/>
  <c r="M76" i="1"/>
  <c r="M75" i="1"/>
  <c r="M74" i="1" s="1"/>
  <c r="M72" i="1"/>
  <c r="K140" i="4"/>
  <c r="K131" i="4"/>
  <c r="K137" i="4"/>
  <c r="M134" i="4"/>
  <c r="M132" i="4"/>
  <c r="K17" i="4"/>
  <c r="K8" i="4"/>
  <c r="K14" i="4"/>
  <c r="K41" i="4"/>
  <c r="K50" i="4"/>
  <c r="K47" i="4"/>
  <c r="J60" i="4"/>
  <c r="J61" i="4" s="1"/>
  <c r="L87" i="4"/>
  <c r="L89" i="4"/>
  <c r="L54" i="4"/>
  <c r="L56" i="4"/>
  <c r="K103" i="4"/>
  <c r="K102" i="4" s="1"/>
  <c r="K100" i="4"/>
  <c r="L108" i="1"/>
  <c r="L111" i="1"/>
  <c r="L110" i="1" s="1"/>
  <c r="L115" i="1"/>
  <c r="L112" i="1"/>
  <c r="M89" i="4"/>
  <c r="M87" i="4"/>
  <c r="M56" i="4"/>
  <c r="M54" i="4"/>
  <c r="K75" i="4"/>
  <c r="K81" i="4"/>
  <c r="K84" i="4"/>
  <c r="K127" i="4"/>
  <c r="K128" i="4" s="1"/>
  <c r="K113" i="1"/>
  <c r="K114" i="1" s="1"/>
  <c r="J105" i="4"/>
  <c r="J106" i="4" s="1"/>
  <c r="K73" i="4"/>
  <c r="K70" i="4"/>
  <c r="K64" i="4"/>
  <c r="M15" i="1"/>
  <c r="M8" i="1"/>
  <c r="M12" i="1"/>
  <c r="M11" i="1"/>
  <c r="M10" i="1" s="1"/>
  <c r="J71" i="4"/>
  <c r="J72" i="4" s="1"/>
  <c r="L21" i="1"/>
  <c r="L24" i="1"/>
  <c r="L20" i="1"/>
  <c r="L19" i="1" s="1"/>
  <c r="L17" i="1"/>
  <c r="M84" i="1"/>
  <c r="M83" i="1" s="1"/>
  <c r="M88" i="1"/>
  <c r="M85" i="1"/>
  <c r="M81" i="1"/>
  <c r="L134" i="4"/>
  <c r="L132" i="4"/>
  <c r="L85" i="1"/>
  <c r="L81" i="1"/>
  <c r="L84" i="1"/>
  <c r="L83" i="1" s="1"/>
  <c r="L88" i="1"/>
  <c r="M57" i="1"/>
  <c r="M56" i="1"/>
  <c r="M55" i="1" s="1"/>
  <c r="M60" i="1"/>
  <c r="M53" i="1"/>
  <c r="L104" i="1"/>
  <c r="L105" i="1" s="1"/>
  <c r="M111" i="4"/>
  <c r="M114" i="4"/>
  <c r="M113" i="4" s="1"/>
  <c r="M104" i="1"/>
  <c r="M105" i="1" s="1"/>
  <c r="K80" i="4"/>
  <c r="K79" i="4" s="1"/>
  <c r="K77" i="4"/>
  <c r="L44" i="4"/>
  <c r="L42" i="4"/>
  <c r="L86" i="1" l="1"/>
  <c r="L87" i="1" s="1"/>
  <c r="M86" i="1"/>
  <c r="M87" i="1" s="1"/>
  <c r="L22" i="1"/>
  <c r="L23" i="1" s="1"/>
  <c r="M77" i="1"/>
  <c r="M78" i="1" s="1"/>
  <c r="L77" i="1"/>
  <c r="L78" i="1" s="1"/>
  <c r="K37" i="4"/>
  <c r="K38" i="4" s="1"/>
  <c r="L13" i="1"/>
  <c r="L14" i="1" s="1"/>
  <c r="M49" i="1"/>
  <c r="M50" i="1" s="1"/>
  <c r="L58" i="1"/>
  <c r="L59" i="1" s="1"/>
  <c r="L68" i="1"/>
  <c r="L69" i="1" s="1"/>
  <c r="L31" i="1"/>
  <c r="L32" i="1" s="1"/>
  <c r="L40" i="1"/>
  <c r="L41" i="1" s="1"/>
  <c r="K105" i="4"/>
  <c r="K106" i="4" s="1"/>
  <c r="M133" i="4"/>
  <c r="M136" i="4"/>
  <c r="M135" i="4" s="1"/>
  <c r="M21" i="4"/>
  <c r="M24" i="4"/>
  <c r="M23" i="4" s="1"/>
  <c r="L21" i="4"/>
  <c r="L24" i="4"/>
  <c r="L23" i="4" s="1"/>
  <c r="M35" i="4"/>
  <c r="M34" i="4" s="1"/>
  <c r="M32" i="4"/>
  <c r="M91" i="4"/>
  <c r="M90" i="4" s="1"/>
  <c r="M88" i="4"/>
  <c r="L53" i="4"/>
  <c r="L62" i="4"/>
  <c r="L59" i="4"/>
  <c r="L49" i="1"/>
  <c r="L50" i="1" s="1"/>
  <c r="M103" i="4"/>
  <c r="M102" i="4" s="1"/>
  <c r="M100" i="4"/>
  <c r="K26" i="4"/>
  <c r="K27" i="4" s="1"/>
  <c r="M31" i="1"/>
  <c r="M32" i="1" s="1"/>
  <c r="L75" i="4"/>
  <c r="L81" i="4"/>
  <c r="L84" i="4"/>
  <c r="M39" i="4"/>
  <c r="M30" i="4"/>
  <c r="M37" i="4" s="1"/>
  <c r="M38" i="4" s="1"/>
  <c r="M36" i="4"/>
  <c r="L41" i="4"/>
  <c r="L50" i="4"/>
  <c r="L47" i="4"/>
  <c r="L46" i="4"/>
  <c r="L45" i="4" s="1"/>
  <c r="L43" i="4"/>
  <c r="L133" i="4"/>
  <c r="L136" i="4"/>
  <c r="L135" i="4" s="1"/>
  <c r="M13" i="1"/>
  <c r="M14" i="1" s="1"/>
  <c r="M58" i="4"/>
  <c r="M57" i="4" s="1"/>
  <c r="M55" i="4"/>
  <c r="L95" i="4"/>
  <c r="L86" i="4"/>
  <c r="L92" i="4"/>
  <c r="K48" i="4"/>
  <c r="K49" i="4" s="1"/>
  <c r="M131" i="4"/>
  <c r="M138" i="4" s="1"/>
  <c r="M139" i="4" s="1"/>
  <c r="M137" i="4"/>
  <c r="M140" i="4"/>
  <c r="M68" i="1"/>
  <c r="M69" i="1" s="1"/>
  <c r="M19" i="4"/>
  <c r="M26" i="4" s="1"/>
  <c r="M27" i="4" s="1"/>
  <c r="M25" i="4"/>
  <c r="M28" i="4"/>
  <c r="M50" i="4"/>
  <c r="M47" i="4"/>
  <c r="M41" i="4"/>
  <c r="L66" i="4"/>
  <c r="L69" i="4"/>
  <c r="L68" i="4" s="1"/>
  <c r="L28" i="4"/>
  <c r="L19" i="4"/>
  <c r="L25" i="4"/>
  <c r="L104" i="4"/>
  <c r="L98" i="4"/>
  <c r="L105" i="4" s="1"/>
  <c r="L106" i="4" s="1"/>
  <c r="L107" i="4"/>
  <c r="M127" i="4"/>
  <c r="M128" i="4" s="1"/>
  <c r="L17" i="4"/>
  <c r="L8" i="4"/>
  <c r="L15" i="4" s="1"/>
  <c r="L16" i="4" s="1"/>
  <c r="L14" i="4"/>
  <c r="L32" i="4"/>
  <c r="L35" i="4"/>
  <c r="L34" i="4" s="1"/>
  <c r="M92" i="4"/>
  <c r="M95" i="4"/>
  <c r="M86" i="4"/>
  <c r="L58" i="4"/>
  <c r="L57" i="4" s="1"/>
  <c r="L55" i="4"/>
  <c r="L64" i="4"/>
  <c r="L70" i="4"/>
  <c r="L73" i="4"/>
  <c r="M66" i="4"/>
  <c r="M69" i="4"/>
  <c r="M68" i="4" s="1"/>
  <c r="M80" i="4"/>
  <c r="M79" i="4" s="1"/>
  <c r="M77" i="4"/>
  <c r="L77" i="4"/>
  <c r="L80" i="4"/>
  <c r="L79" i="4" s="1"/>
  <c r="L10" i="4"/>
  <c r="L13" i="4"/>
  <c r="L12" i="4" s="1"/>
  <c r="K71" i="4"/>
  <c r="K72" i="4" s="1"/>
  <c r="K82" i="4"/>
  <c r="K83" i="4" s="1"/>
  <c r="L113" i="1"/>
  <c r="L114" i="1" s="1"/>
  <c r="K15" i="4"/>
  <c r="K16" i="4" s="1"/>
  <c r="M116" i="4"/>
  <c r="M117" i="4" s="1"/>
  <c r="M113" i="1"/>
  <c r="M114" i="1" s="1"/>
  <c r="M10" i="4"/>
  <c r="M13" i="4"/>
  <c r="M12" i="4" s="1"/>
  <c r="M64" i="4"/>
  <c r="M71" i="4" s="1"/>
  <c r="M72" i="4" s="1"/>
  <c r="M70" i="4"/>
  <c r="M73" i="4"/>
  <c r="M84" i="4"/>
  <c r="M75" i="4"/>
  <c r="M82" i="4" s="1"/>
  <c r="M83" i="4" s="1"/>
  <c r="M81" i="4"/>
  <c r="L127" i="4"/>
  <c r="L128" i="4" s="1"/>
  <c r="M40" i="1"/>
  <c r="M41" i="1" s="1"/>
  <c r="M58" i="1"/>
  <c r="M59" i="1" s="1"/>
  <c r="L137" i="4"/>
  <c r="L131" i="4"/>
  <c r="L140" i="4"/>
  <c r="M62" i="4"/>
  <c r="M53" i="4"/>
  <c r="M59" i="4"/>
  <c r="L88" i="4"/>
  <c r="L91" i="4"/>
  <c r="L90" i="4" s="1"/>
  <c r="K138" i="4"/>
  <c r="K139" i="4" s="1"/>
  <c r="M46" i="4"/>
  <c r="M45" i="4" s="1"/>
  <c r="M43" i="4"/>
  <c r="M107" i="4"/>
  <c r="M98" i="4"/>
  <c r="M104" i="4"/>
  <c r="M17" i="4"/>
  <c r="M14" i="4"/>
  <c r="M8" i="4"/>
  <c r="L100" i="4"/>
  <c r="L103" i="4"/>
  <c r="L102" i="4" s="1"/>
  <c r="L116" i="4"/>
  <c r="L117" i="4" s="1"/>
  <c r="K60" i="4"/>
  <c r="K61" i="4" s="1"/>
  <c r="M22" i="1"/>
  <c r="M23" i="1" s="1"/>
  <c r="L36" i="4"/>
  <c r="L30" i="4"/>
  <c r="L37" i="4" s="1"/>
  <c r="L38" i="4" s="1"/>
  <c r="L39" i="4"/>
  <c r="K93" i="4"/>
  <c r="K94" i="4" s="1"/>
  <c r="L82" i="4" l="1"/>
  <c r="L83" i="4" s="1"/>
  <c r="M15" i="4"/>
  <c r="M16" i="4" s="1"/>
  <c r="M105" i="4"/>
  <c r="M106" i="4" s="1"/>
  <c r="M60" i="4"/>
  <c r="M61" i="4" s="1"/>
  <c r="L71" i="4"/>
  <c r="L72" i="4" s="1"/>
  <c r="L26" i="4"/>
  <c r="L27" i="4" s="1"/>
  <c r="M48" i="4"/>
  <c r="M49" i="4" s="1"/>
  <c r="L93" i="4"/>
  <c r="L94" i="4" s="1"/>
  <c r="L60" i="4"/>
  <c r="L61" i="4" s="1"/>
  <c r="L138" i="4"/>
  <c r="L139" i="4" s="1"/>
  <c r="M93" i="4"/>
  <c r="M94" i="4" s="1"/>
  <c r="L48" i="4"/>
  <c r="L4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anthony.fanchi</author>
    <author>Anthony J. Fanchi</author>
    <author>Anthony J Fanchi</author>
  </authors>
  <commentList>
    <comment ref="C4" authorId="0" shapeId="0" xr:uid="{00000000-0006-0000-0000-000001000000}">
      <text>
        <r>
          <rPr>
            <b/>
            <sz val="9"/>
            <color indexed="81"/>
            <rFont val="Tahoma"/>
            <family val="2"/>
          </rPr>
          <t>Click here to go straight to the pay charts.</t>
        </r>
        <r>
          <rPr>
            <sz val="9"/>
            <color indexed="81"/>
            <rFont val="Tahoma"/>
            <family val="2"/>
          </rPr>
          <t xml:space="preserve">
</t>
        </r>
      </text>
    </comment>
    <comment ref="F12" authorId="1" shapeId="0" xr:uid="{00000000-0006-0000-0000-000002000000}">
      <text>
        <r>
          <rPr>
            <b/>
            <sz val="9"/>
            <color indexed="81"/>
            <rFont val="Tahoma"/>
            <charset val="1"/>
          </rPr>
          <t>Click here to enter a special salary rate</t>
        </r>
      </text>
    </comment>
    <comment ref="C16" authorId="2" shapeId="0" xr:uid="{00000000-0006-0000-0000-000003000000}">
      <text>
        <r>
          <rPr>
            <b/>
            <sz val="8"/>
            <color indexed="81"/>
            <rFont val="Tahoma"/>
            <family val="2"/>
          </rPr>
          <t>Select 84, 72, 60, or 56</t>
        </r>
      </text>
    </comment>
    <comment ref="C18" authorId="2" shapeId="0" xr:uid="{00000000-0006-0000-0000-000004000000}">
      <text>
        <r>
          <rPr>
            <b/>
            <sz val="8"/>
            <color indexed="81"/>
            <rFont val="Tahoma"/>
            <family val="2"/>
          </rPr>
          <t>Select 60 or 56</t>
        </r>
      </text>
    </comment>
    <comment ref="C31" authorId="2"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 ref="C41" authorId="2" shapeId="0" xr:uid="{00000000-0006-0000-0000-000006000000}">
      <text>
        <r>
          <rPr>
            <b/>
            <sz val="8"/>
            <color indexed="81"/>
            <rFont val="Tahoma"/>
            <family val="2"/>
          </rPr>
          <t>Select 26 or 27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 xml:space="preserve">OT PAY refers to overtime pay earned for all hours beyond 106.  On your LES, it is referred to as "OT IN TOUR."
</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or 27 (if applicable)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16" authorId="0" shapeId="0" xr:uid="{00000000-0006-0000-0600-00000A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17" authorId="0" shapeId="0" xr:uid="{00000000-0006-0000-0600-00000B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18" authorId="0" shapeId="0" xr:uid="{00000000-0006-0000-0600-00000C000000}">
      <text>
        <r>
          <rPr>
            <b/>
            <sz val="8"/>
            <color indexed="81"/>
            <rFont val="Tahoma"/>
            <family val="2"/>
          </rPr>
          <t xml:space="preserve">FF RATE refers to the hourly pay actually received for the first 106 hours.  It is less than the normal GS rate.
</t>
        </r>
      </text>
    </comment>
    <comment ref="C19" authorId="0" shapeId="0" xr:uid="{00000000-0006-0000-0600-00000D000000}">
      <text>
        <r>
          <rPr>
            <b/>
            <sz val="8"/>
            <color indexed="81"/>
            <rFont val="Tahoma"/>
            <family val="2"/>
          </rPr>
          <t xml:space="preserve">OT PAY refers to overtime pay earned for all hours beyond 106.  On your LES, it is referred to as "OT IN TOUR."
</t>
        </r>
      </text>
    </comment>
    <comment ref="C20" authorId="0" shapeId="0" xr:uid="{00000000-0006-0000-0600-00000E000000}">
      <text>
        <r>
          <rPr>
            <b/>
            <sz val="8"/>
            <color indexed="81"/>
            <rFont val="Tahoma"/>
            <family val="2"/>
          </rPr>
          <t>OT RATE refers to 1 1/2 times the FF hourly rate.  It is less than GS overtime.</t>
        </r>
      </text>
    </comment>
    <comment ref="C21" authorId="0" shapeId="0" xr:uid="{00000000-0006-0000-0600-00000F000000}">
      <text>
        <r>
          <rPr>
            <b/>
            <sz val="8"/>
            <color indexed="81"/>
            <rFont val="Tahoma"/>
            <family val="2"/>
          </rPr>
          <t xml:space="preserve">COLA refers to the Non-Foreign Cost of Living Allowance federal workers receive when employed outside the continental U.S.
</t>
        </r>
      </text>
    </comment>
    <comment ref="C22" authorId="0" shapeId="0" xr:uid="{00000000-0006-0000-0600-000010000000}">
      <text>
        <r>
          <rPr>
            <b/>
            <sz val="8"/>
            <color indexed="81"/>
            <rFont val="Tahoma"/>
            <family val="2"/>
          </rPr>
          <t xml:space="preserve">PAY PERIOD refers to the actual gross pay you should receive each pay period.  It is derived by adding FF and OT pay together plus COLA (if applicable).
</t>
        </r>
      </text>
    </comment>
    <comment ref="C23" authorId="0" shapeId="0" xr:uid="{00000000-0006-0000-0600-000011000000}">
      <text>
        <r>
          <rPr>
            <b/>
            <sz val="8"/>
            <color indexed="81"/>
            <rFont val="Tahoma"/>
            <family val="2"/>
          </rPr>
          <t xml:space="preserve">ANNUAL PAY refers to the actual gross pay you should receive for 26 or 27 (if applicable) pay periods.  
</t>
        </r>
      </text>
    </comment>
    <comment ref="C24" authorId="0" shapeId="0" xr:uid="{00000000-0006-0000-06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25" authorId="0" shapeId="0" xr:uid="{00000000-0006-0000-0600-000013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6" authorId="0" shapeId="0" xr:uid="{00000000-0006-0000-0600-00001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27" authorId="0" shapeId="0" xr:uid="{00000000-0006-0000-0600-000015000000}">
      <text>
        <r>
          <rPr>
            <b/>
            <sz val="8"/>
            <color indexed="81"/>
            <rFont val="Tahoma"/>
            <family val="2"/>
          </rPr>
          <t xml:space="preserve">FF RATE refers to the hourly pay actually received for the first 106 hours.  It is less than the normal GS rate.
</t>
        </r>
      </text>
    </comment>
    <comment ref="C28" authorId="0" shapeId="0" xr:uid="{00000000-0006-0000-0600-000016000000}">
      <text>
        <r>
          <rPr>
            <b/>
            <sz val="8"/>
            <color indexed="81"/>
            <rFont val="Tahoma"/>
            <family val="2"/>
          </rPr>
          <t xml:space="preserve">OT PAY refers to overtime pay earned for all hours beyond 106.  On your LES, it is referred to as "OT IN TOUR."
</t>
        </r>
      </text>
    </comment>
    <comment ref="C29" authorId="0" shapeId="0" xr:uid="{00000000-0006-0000-0600-000017000000}">
      <text>
        <r>
          <rPr>
            <b/>
            <sz val="8"/>
            <color indexed="81"/>
            <rFont val="Tahoma"/>
            <family val="2"/>
          </rPr>
          <t>OT RATE refers to 1 1/2 times the FF hourly rate.  It is less than GS overtime.</t>
        </r>
      </text>
    </comment>
    <comment ref="C30" authorId="0" shapeId="0" xr:uid="{00000000-0006-0000-0600-000018000000}">
      <text>
        <r>
          <rPr>
            <b/>
            <sz val="8"/>
            <color indexed="81"/>
            <rFont val="Tahoma"/>
            <family val="2"/>
          </rPr>
          <t xml:space="preserve">COLA refers to the Non-Foreign Cost of Living Allowance federal workers receive when employed outside the continental U.S.
</t>
        </r>
      </text>
    </comment>
    <comment ref="C31" authorId="0" shapeId="0" xr:uid="{00000000-0006-0000-0600-000019000000}">
      <text>
        <r>
          <rPr>
            <b/>
            <sz val="8"/>
            <color indexed="81"/>
            <rFont val="Tahoma"/>
            <family val="2"/>
          </rPr>
          <t xml:space="preserve">PAY PERIOD refers to the actual gross pay you should receive each pay period.  It is derived by adding FF and OT pay together plus COLA (if applicable).
</t>
        </r>
      </text>
    </comment>
    <comment ref="C32" authorId="0" shapeId="0" xr:uid="{00000000-0006-0000-0600-00001A000000}">
      <text>
        <r>
          <rPr>
            <b/>
            <sz val="8"/>
            <color indexed="81"/>
            <rFont val="Tahoma"/>
            <family val="2"/>
          </rPr>
          <t xml:space="preserve">ANNUAL PAY refers to the actual gross pay you should receive for 26 or 27 (if applicable) pay periods.  
</t>
        </r>
      </text>
    </comment>
    <comment ref="C33" authorId="0" shapeId="0" xr:uid="{00000000-0006-0000-0600-00001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34" authorId="0" shapeId="0" xr:uid="{00000000-0006-0000-0600-00001C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35" authorId="0" shapeId="0" xr:uid="{00000000-0006-0000-0600-00001D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36" authorId="0" shapeId="0" xr:uid="{00000000-0006-0000-0600-00001E000000}">
      <text>
        <r>
          <rPr>
            <b/>
            <sz val="8"/>
            <color indexed="81"/>
            <rFont val="Tahoma"/>
            <family val="2"/>
          </rPr>
          <t xml:space="preserve">FF RATE refers to the hourly pay actually received for the first 106 hours.  It is less than the normal GS rate.
</t>
        </r>
      </text>
    </comment>
    <comment ref="C37" authorId="0" shapeId="0" xr:uid="{00000000-0006-0000-0600-00001F000000}">
      <text>
        <r>
          <rPr>
            <b/>
            <sz val="8"/>
            <color indexed="81"/>
            <rFont val="Tahoma"/>
            <family val="2"/>
          </rPr>
          <t xml:space="preserve">OT PAY refers to overtime pay earned for all hours beyond 106.  On your LES, it is referred to as "OT IN TOUR."
</t>
        </r>
      </text>
    </comment>
    <comment ref="C38" authorId="0" shapeId="0" xr:uid="{00000000-0006-0000-0600-000020000000}">
      <text>
        <r>
          <rPr>
            <b/>
            <sz val="8"/>
            <color indexed="81"/>
            <rFont val="Tahoma"/>
            <family val="2"/>
          </rPr>
          <t>OT RATE refers to 1 1/2 times the FF hourly rate.  It is less than GS overtime.</t>
        </r>
      </text>
    </comment>
    <comment ref="C39" authorId="0" shapeId="0" xr:uid="{00000000-0006-0000-0600-000021000000}">
      <text>
        <r>
          <rPr>
            <b/>
            <sz val="8"/>
            <color indexed="81"/>
            <rFont val="Tahoma"/>
            <family val="2"/>
          </rPr>
          <t xml:space="preserve">COLA refers to the Non-Foreign Cost of Living Allowance federal workers receive when employed outside the continental U.S.
</t>
        </r>
      </text>
    </comment>
    <comment ref="C40" authorId="0" shapeId="0" xr:uid="{00000000-0006-0000-0600-000022000000}">
      <text>
        <r>
          <rPr>
            <b/>
            <sz val="8"/>
            <color indexed="81"/>
            <rFont val="Tahoma"/>
            <family val="2"/>
          </rPr>
          <t xml:space="preserve">PAY PERIOD refers to the actual gross pay you should receive each pay period.  It is derived by adding FF and OT pay together plus COLA (if applicable).
</t>
        </r>
      </text>
    </comment>
    <comment ref="C41" authorId="0" shapeId="0" xr:uid="{00000000-0006-0000-0600-000023000000}">
      <text>
        <r>
          <rPr>
            <b/>
            <sz val="8"/>
            <color indexed="81"/>
            <rFont val="Tahoma"/>
            <family val="2"/>
          </rPr>
          <t xml:space="preserve">ANNUAL PAY refers to the actual gross pay you should receive for 26 or 27 (if applicable) pay periods.  
</t>
        </r>
      </text>
    </comment>
    <comment ref="C42" authorId="0" shapeId="0" xr:uid="{00000000-0006-0000-0600-000024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43" authorId="0" shapeId="0" xr:uid="{00000000-0006-0000-0600-000025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44" authorId="0" shapeId="0" xr:uid="{00000000-0006-0000-0600-000026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45" authorId="0" shapeId="0" xr:uid="{00000000-0006-0000-0600-000027000000}">
      <text>
        <r>
          <rPr>
            <b/>
            <sz val="8"/>
            <color indexed="81"/>
            <rFont val="Tahoma"/>
            <family val="2"/>
          </rPr>
          <t xml:space="preserve">FF RATE refers to the hourly pay actually received for the first 106 hours.  It is less than the normal GS rate.
</t>
        </r>
      </text>
    </comment>
    <comment ref="C46" authorId="0" shapeId="0" xr:uid="{00000000-0006-0000-0600-000028000000}">
      <text>
        <r>
          <rPr>
            <b/>
            <sz val="8"/>
            <color indexed="81"/>
            <rFont val="Tahoma"/>
            <family val="2"/>
          </rPr>
          <t xml:space="preserve">OT PAY refers to overtime pay earned for all hours beyond 106.  On your LES, it is referred to as "OT IN TOUR."
</t>
        </r>
      </text>
    </comment>
    <comment ref="C47" authorId="0" shapeId="0" xr:uid="{00000000-0006-0000-0600-000029000000}">
      <text>
        <r>
          <rPr>
            <b/>
            <sz val="8"/>
            <color indexed="81"/>
            <rFont val="Tahoma"/>
            <family val="2"/>
          </rPr>
          <t>OT RATE refers to 1 1/2 times the FF hourly rate.  It is less than GS overtime.</t>
        </r>
      </text>
    </comment>
    <comment ref="C48" authorId="0" shapeId="0" xr:uid="{00000000-0006-0000-0600-00002A000000}">
      <text>
        <r>
          <rPr>
            <b/>
            <sz val="8"/>
            <color indexed="81"/>
            <rFont val="Tahoma"/>
            <family val="2"/>
          </rPr>
          <t xml:space="preserve">COLA refers to the Non-Foreign Cost of Living Allowance federal workers receive when employed outside the continental U.S.
</t>
        </r>
      </text>
    </comment>
    <comment ref="C49" authorId="0" shapeId="0" xr:uid="{00000000-0006-0000-0600-00002B000000}">
      <text>
        <r>
          <rPr>
            <b/>
            <sz val="8"/>
            <color indexed="81"/>
            <rFont val="Tahoma"/>
            <family val="2"/>
          </rPr>
          <t xml:space="preserve">PAY PERIOD refers to the actual gross pay you should receive each pay period.  It is derived by adding FF and OT pay together plus COLA (if applicable).
</t>
        </r>
      </text>
    </comment>
    <comment ref="C50" authorId="0" shapeId="0" xr:uid="{00000000-0006-0000-0600-00002C000000}">
      <text>
        <r>
          <rPr>
            <b/>
            <sz val="8"/>
            <color indexed="81"/>
            <rFont val="Tahoma"/>
            <family val="2"/>
          </rPr>
          <t xml:space="preserve">ANNUAL PAY refers to the actual gross pay you should receive for 26 or 27 (if applicable) pay periods.  
</t>
        </r>
      </text>
    </comment>
    <comment ref="C51" authorId="0" shapeId="0" xr:uid="{00000000-0006-0000-0600-00002D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52" authorId="0" shapeId="0" xr:uid="{00000000-0006-0000-0600-00002E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53" authorId="0" shapeId="0" xr:uid="{00000000-0006-0000-0600-00002F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54" authorId="0" shapeId="0" xr:uid="{00000000-0006-0000-0600-000030000000}">
      <text>
        <r>
          <rPr>
            <b/>
            <sz val="8"/>
            <color indexed="81"/>
            <rFont val="Tahoma"/>
            <family val="2"/>
          </rPr>
          <t xml:space="preserve">FF RATE refers to the hourly pay actually received for the first 106 hours.  It is less than the normal GS rate.
</t>
        </r>
      </text>
    </comment>
    <comment ref="C55" authorId="0" shapeId="0" xr:uid="{00000000-0006-0000-0600-000031000000}">
      <text>
        <r>
          <rPr>
            <b/>
            <sz val="8"/>
            <color indexed="81"/>
            <rFont val="Tahoma"/>
            <family val="2"/>
          </rPr>
          <t xml:space="preserve">OT PAY refers to overtime pay earned for all hours beyond 106.  On your LES, it is referred to as "OT IN TOUR."
</t>
        </r>
      </text>
    </comment>
    <comment ref="C56" authorId="0" shapeId="0" xr:uid="{00000000-0006-0000-0600-000032000000}">
      <text>
        <r>
          <rPr>
            <b/>
            <sz val="8"/>
            <color indexed="81"/>
            <rFont val="Tahoma"/>
            <family val="2"/>
          </rPr>
          <t>OT RATE refers to 1 1/2 times the FF hourly rate.  It is less than GS overtime.</t>
        </r>
      </text>
    </comment>
    <comment ref="C57" authorId="0" shapeId="0" xr:uid="{00000000-0006-0000-0600-000033000000}">
      <text>
        <r>
          <rPr>
            <b/>
            <sz val="8"/>
            <color indexed="81"/>
            <rFont val="Tahoma"/>
            <family val="2"/>
          </rPr>
          <t xml:space="preserve">COLA refers to the Non-Foreign Cost of Living Allowance federal workers receive when employed outside the continental U.S.
</t>
        </r>
      </text>
    </comment>
    <comment ref="C58" authorId="0" shapeId="0" xr:uid="{00000000-0006-0000-0600-000034000000}">
      <text>
        <r>
          <rPr>
            <b/>
            <sz val="8"/>
            <color indexed="81"/>
            <rFont val="Tahoma"/>
            <family val="2"/>
          </rPr>
          <t xml:space="preserve">PAY PERIOD refers to the actual gross pay you should receive each pay period.  It is derived by adding FF and OT pay together plus COLA (if applicable).
</t>
        </r>
      </text>
    </comment>
    <comment ref="C59" authorId="0" shapeId="0" xr:uid="{00000000-0006-0000-0600-000035000000}">
      <text>
        <r>
          <rPr>
            <b/>
            <sz val="8"/>
            <color indexed="81"/>
            <rFont val="Tahoma"/>
            <family val="2"/>
          </rPr>
          <t xml:space="preserve">ANNUAL PAY refers to the actual gross pay you should receive for 26 or 27 (if applicable) pay periods.  
</t>
        </r>
      </text>
    </comment>
    <comment ref="C60" authorId="0" shapeId="0" xr:uid="{00000000-0006-0000-0600-000036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62" authorId="0" shapeId="0" xr:uid="{00000000-0006-0000-0600-000037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63" authorId="0" shapeId="0" xr:uid="{00000000-0006-0000-0600-000038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64" authorId="0" shapeId="0" xr:uid="{00000000-0006-0000-0600-000039000000}">
      <text>
        <r>
          <rPr>
            <b/>
            <sz val="8"/>
            <color indexed="81"/>
            <rFont val="Tahoma"/>
            <family val="2"/>
          </rPr>
          <t xml:space="preserve">FF RATE refers to the hourly pay actually received for the first 106 hours.  It is less than the normal GS rate.
</t>
        </r>
      </text>
    </comment>
    <comment ref="C65" authorId="0" shapeId="0" xr:uid="{00000000-0006-0000-0600-00003A000000}">
      <text>
        <r>
          <rPr>
            <b/>
            <sz val="8"/>
            <color indexed="81"/>
            <rFont val="Tahoma"/>
            <family val="2"/>
          </rPr>
          <t xml:space="preserve">OT PAY refers to overtime pay earned for all hours beyond 106.  On your LES, it is referred to as "OT IN TOUR."
</t>
        </r>
      </text>
    </comment>
    <comment ref="C66" authorId="0" shapeId="0" xr:uid="{00000000-0006-0000-0600-00003B000000}">
      <text>
        <r>
          <rPr>
            <b/>
            <sz val="8"/>
            <color indexed="81"/>
            <rFont val="Tahoma"/>
            <family val="2"/>
          </rPr>
          <t>OT RATE refers to 1 1/2 times the FF hourly rate.  It is less than GS overtime.</t>
        </r>
      </text>
    </comment>
    <comment ref="C67" authorId="0" shapeId="0" xr:uid="{00000000-0006-0000-0600-00003C000000}">
      <text>
        <r>
          <rPr>
            <b/>
            <sz val="8"/>
            <color indexed="81"/>
            <rFont val="Tahoma"/>
            <family val="2"/>
          </rPr>
          <t xml:space="preserve">COLA refers to the Non-Foreign Cost of Living Allowance federal workers receive when employed outside the continental U.S.
</t>
        </r>
      </text>
    </comment>
    <comment ref="C68" authorId="0" shapeId="0" xr:uid="{00000000-0006-0000-0600-00003D000000}">
      <text>
        <r>
          <rPr>
            <b/>
            <sz val="8"/>
            <color indexed="81"/>
            <rFont val="Tahoma"/>
            <family val="2"/>
          </rPr>
          <t xml:space="preserve">PAY PERIOD refers to the actual gross pay you should receive each pay period.  It is derived by adding FF and OT pay together plus COLA (if applicable).
</t>
        </r>
      </text>
    </comment>
    <comment ref="C69" authorId="0" shapeId="0" xr:uid="{00000000-0006-0000-0600-00003E000000}">
      <text>
        <r>
          <rPr>
            <b/>
            <sz val="8"/>
            <color indexed="81"/>
            <rFont val="Tahoma"/>
            <family val="2"/>
          </rPr>
          <t xml:space="preserve">ANNUAL PAY refers to the actual gross pay you should receive for 26 or 27 (if applicable) pay periods.  
</t>
        </r>
      </text>
    </comment>
    <comment ref="C70" authorId="0" shapeId="0" xr:uid="{00000000-0006-0000-0600-00003F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71" authorId="0" shapeId="0" xr:uid="{00000000-0006-0000-0600-000040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72" authorId="0" shapeId="0" xr:uid="{00000000-0006-0000-0600-000041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73" authorId="0" shapeId="0" xr:uid="{00000000-0006-0000-0600-000042000000}">
      <text>
        <r>
          <rPr>
            <b/>
            <sz val="8"/>
            <color indexed="81"/>
            <rFont val="Tahoma"/>
            <family val="2"/>
          </rPr>
          <t xml:space="preserve">FF RATE refers to the hourly pay actually received for the first 106 hours.  It is less than the normal GS rate.
</t>
        </r>
      </text>
    </comment>
    <comment ref="C74" authorId="0" shapeId="0" xr:uid="{00000000-0006-0000-0600-000043000000}">
      <text>
        <r>
          <rPr>
            <b/>
            <sz val="8"/>
            <color indexed="81"/>
            <rFont val="Tahoma"/>
            <family val="2"/>
          </rPr>
          <t xml:space="preserve">OT PAY refers to overtime pay earned for all hours beyond 106.  On your LES, it is referred to as "OT IN TOUR."
</t>
        </r>
      </text>
    </comment>
    <comment ref="C75" authorId="0" shapeId="0" xr:uid="{00000000-0006-0000-0600-000044000000}">
      <text>
        <r>
          <rPr>
            <b/>
            <sz val="8"/>
            <color indexed="81"/>
            <rFont val="Tahoma"/>
            <family val="2"/>
          </rPr>
          <t>OT RATE refers to 1 1/2 times the FF hourly rate.  It is less than GS overtime.</t>
        </r>
      </text>
    </comment>
    <comment ref="C76" authorId="0" shapeId="0" xr:uid="{00000000-0006-0000-0600-000045000000}">
      <text>
        <r>
          <rPr>
            <b/>
            <sz val="8"/>
            <color indexed="81"/>
            <rFont val="Tahoma"/>
            <family val="2"/>
          </rPr>
          <t xml:space="preserve">COLA refers to the Non-Foreign Cost of Living Allowance federal workers receive when employed outside the continental U.S.
</t>
        </r>
      </text>
    </comment>
    <comment ref="C77" authorId="0" shapeId="0" xr:uid="{00000000-0006-0000-0600-000046000000}">
      <text>
        <r>
          <rPr>
            <b/>
            <sz val="8"/>
            <color indexed="81"/>
            <rFont val="Tahoma"/>
            <family val="2"/>
          </rPr>
          <t xml:space="preserve">PAY PERIOD refers to the actual gross pay you should receive each pay period.  It is derived by adding FF and OT pay together plus COLA (if applicable).
</t>
        </r>
      </text>
    </comment>
    <comment ref="C78" authorId="0" shapeId="0" xr:uid="{00000000-0006-0000-0600-000047000000}">
      <text>
        <r>
          <rPr>
            <b/>
            <sz val="8"/>
            <color indexed="81"/>
            <rFont val="Tahoma"/>
            <family val="2"/>
          </rPr>
          <t xml:space="preserve">ANNUAL PAY refers to the actual gross pay you should receive for 26 or 27 (if applicable) pay periods.  
</t>
        </r>
      </text>
    </comment>
    <comment ref="C79" authorId="0" shapeId="0" xr:uid="{00000000-0006-0000-0600-000048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80" authorId="0" shapeId="0" xr:uid="{00000000-0006-0000-0600-000049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1" authorId="0" shapeId="0" xr:uid="{00000000-0006-0000-0600-00004A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82" authorId="0" shapeId="0" xr:uid="{00000000-0006-0000-0600-00004B000000}">
      <text>
        <r>
          <rPr>
            <b/>
            <sz val="8"/>
            <color indexed="81"/>
            <rFont val="Tahoma"/>
            <family val="2"/>
          </rPr>
          <t xml:space="preserve">FF RATE refers to the hourly pay actually received for the first 106 hours.  It is less than the normal GS rate.
</t>
        </r>
      </text>
    </comment>
    <comment ref="C83" authorId="0" shapeId="0" xr:uid="{00000000-0006-0000-0600-00004C000000}">
      <text>
        <r>
          <rPr>
            <b/>
            <sz val="8"/>
            <color indexed="81"/>
            <rFont val="Tahoma"/>
            <family val="2"/>
          </rPr>
          <t xml:space="preserve">OT PAY refers to overtime pay earned for all hours beyond 106.  On your LES, it is referred to as "OT IN TOUR."
</t>
        </r>
      </text>
    </comment>
    <comment ref="C84" authorId="0" shapeId="0" xr:uid="{00000000-0006-0000-0600-00004D000000}">
      <text>
        <r>
          <rPr>
            <b/>
            <sz val="8"/>
            <color indexed="81"/>
            <rFont val="Tahoma"/>
            <family val="2"/>
          </rPr>
          <t>OT RATE refers to 1 1/2 times the FF hourly rate.  It is less than GS overtime.</t>
        </r>
      </text>
    </comment>
    <comment ref="C85" authorId="0" shapeId="0" xr:uid="{00000000-0006-0000-0600-00004E000000}">
      <text>
        <r>
          <rPr>
            <b/>
            <sz val="8"/>
            <color indexed="81"/>
            <rFont val="Tahoma"/>
            <family val="2"/>
          </rPr>
          <t xml:space="preserve">COLA refers to the Non-Foreign Cost of Living Allowance federal workers receive when employed outside the continental U.S.
</t>
        </r>
      </text>
    </comment>
    <comment ref="C86" authorId="0" shapeId="0" xr:uid="{00000000-0006-0000-0600-00004F000000}">
      <text>
        <r>
          <rPr>
            <b/>
            <sz val="8"/>
            <color indexed="81"/>
            <rFont val="Tahoma"/>
            <family val="2"/>
          </rPr>
          <t xml:space="preserve">PAY PERIOD refers to the actual gross pay you should receive each pay period.  It is derived by adding FF and OT pay together plus COLA (if applicable).
</t>
        </r>
      </text>
    </comment>
    <comment ref="C87" authorId="0" shapeId="0" xr:uid="{00000000-0006-0000-0600-000050000000}">
      <text>
        <r>
          <rPr>
            <b/>
            <sz val="8"/>
            <color indexed="81"/>
            <rFont val="Tahoma"/>
            <family val="2"/>
          </rPr>
          <t xml:space="preserve">ANNUAL PAY refers to the actual gross pay you should receive for 26 or 27 (if applicable) pay periods.  
</t>
        </r>
      </text>
    </comment>
    <comment ref="C88" authorId="0" shapeId="0" xr:uid="{00000000-0006-0000-0600-000051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89" authorId="0" shapeId="0" xr:uid="{00000000-0006-0000-0600-000052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90" authorId="0" shapeId="0" xr:uid="{00000000-0006-0000-0600-000053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1" authorId="0" shapeId="0" xr:uid="{00000000-0006-0000-0600-000054000000}">
      <text>
        <r>
          <rPr>
            <b/>
            <sz val="8"/>
            <color indexed="81"/>
            <rFont val="Tahoma"/>
            <family val="2"/>
          </rPr>
          <t xml:space="preserve">FF RATE refers to the hourly pay actually received for the first 106 hours.  It is less than the normal GS rate.
</t>
        </r>
      </text>
    </comment>
    <comment ref="C92" authorId="0" shapeId="0" xr:uid="{00000000-0006-0000-0600-000055000000}">
      <text>
        <r>
          <rPr>
            <b/>
            <sz val="8"/>
            <color indexed="81"/>
            <rFont val="Tahoma"/>
            <family val="2"/>
          </rPr>
          <t xml:space="preserve">OT PAY refers to overtime pay earned for all hours beyond 106.  On your LES, it is referred to as "OT IN TOUR."
</t>
        </r>
      </text>
    </comment>
    <comment ref="C93" authorId="0" shapeId="0" xr:uid="{00000000-0006-0000-0600-000056000000}">
      <text>
        <r>
          <rPr>
            <b/>
            <sz val="8"/>
            <color indexed="81"/>
            <rFont val="Tahoma"/>
            <family val="2"/>
          </rPr>
          <t>OT RATE refers to 1 1/2 times the FF hourly rate.  It is less than GS overtime.</t>
        </r>
      </text>
    </comment>
    <comment ref="C94" authorId="0" shapeId="0" xr:uid="{00000000-0006-0000-0600-000057000000}">
      <text>
        <r>
          <rPr>
            <b/>
            <sz val="8"/>
            <color indexed="81"/>
            <rFont val="Tahoma"/>
            <family val="2"/>
          </rPr>
          <t xml:space="preserve">COLA refers to the Non-Foreign Cost of Living Allowance federal workers receive when employed outside the continental U.S.
</t>
        </r>
      </text>
    </comment>
    <comment ref="C95" authorId="0" shapeId="0" xr:uid="{00000000-0006-0000-0600-000058000000}">
      <text>
        <r>
          <rPr>
            <b/>
            <sz val="8"/>
            <color indexed="81"/>
            <rFont val="Tahoma"/>
            <family val="2"/>
          </rPr>
          <t xml:space="preserve">PAY PERIOD refers to the actual gross pay you should receive each pay period.  It is derived by adding FF and OT pay together plus COLA (if applicable).
</t>
        </r>
      </text>
    </comment>
    <comment ref="C96" authorId="0" shapeId="0" xr:uid="{00000000-0006-0000-0600-000059000000}">
      <text>
        <r>
          <rPr>
            <b/>
            <sz val="8"/>
            <color indexed="81"/>
            <rFont val="Tahoma"/>
            <family val="2"/>
          </rPr>
          <t xml:space="preserve">ANNUAL PAY refers to the actual gross pay you should receive for 26 or 27 (if applicable) pay periods.  
</t>
        </r>
      </text>
    </comment>
    <comment ref="C97" authorId="0" shapeId="0" xr:uid="{00000000-0006-0000-0600-00005A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98" authorId="0" shapeId="0" xr:uid="{00000000-0006-0000-0600-00005B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99" authorId="0" shapeId="0" xr:uid="{00000000-0006-0000-0600-00005C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100" authorId="0" shapeId="0" xr:uid="{00000000-0006-0000-0600-00005D000000}">
      <text>
        <r>
          <rPr>
            <b/>
            <sz val="8"/>
            <color indexed="81"/>
            <rFont val="Tahoma"/>
            <family val="2"/>
          </rPr>
          <t xml:space="preserve">FF RATE refers to the hourly pay actually received for the first 106 hours.  It is less than the normal GS rate.
</t>
        </r>
      </text>
    </comment>
    <comment ref="C101" authorId="0" shapeId="0" xr:uid="{00000000-0006-0000-0600-00005E000000}">
      <text>
        <r>
          <rPr>
            <b/>
            <sz val="8"/>
            <color indexed="81"/>
            <rFont val="Tahoma"/>
            <family val="2"/>
          </rPr>
          <t xml:space="preserve">OT PAY refers to overtime pay earned for all hours beyond 106.  On your LES, it is referred to as "OT IN TOUR."
</t>
        </r>
      </text>
    </comment>
    <comment ref="C102" authorId="0" shapeId="0" xr:uid="{00000000-0006-0000-0600-00005F000000}">
      <text>
        <r>
          <rPr>
            <b/>
            <sz val="8"/>
            <color indexed="81"/>
            <rFont val="Tahoma"/>
            <family val="2"/>
          </rPr>
          <t>OT RATE refers to 1 1/2 times the FF hourly rate.  It is less than GS overtime.</t>
        </r>
      </text>
    </comment>
    <comment ref="C103" authorId="0" shapeId="0" xr:uid="{00000000-0006-0000-0600-000060000000}">
      <text>
        <r>
          <rPr>
            <b/>
            <sz val="8"/>
            <color indexed="81"/>
            <rFont val="Tahoma"/>
            <family val="2"/>
          </rPr>
          <t xml:space="preserve">COLA refers to the Non-Foreign Cost of Living Allowance federal workers receive when employed outside the continental U.S.
</t>
        </r>
      </text>
    </comment>
    <comment ref="C104" authorId="0" shapeId="0" xr:uid="{00000000-0006-0000-0600-000061000000}">
      <text>
        <r>
          <rPr>
            <b/>
            <sz val="8"/>
            <color indexed="81"/>
            <rFont val="Tahoma"/>
            <family val="2"/>
          </rPr>
          <t xml:space="preserve">PAY PERIOD refers to the actual gross pay you should receive each pay period.  It is derived by adding FF and OT pay together plus COLA (if applicable).
</t>
        </r>
      </text>
    </comment>
    <comment ref="C105" authorId="0" shapeId="0" xr:uid="{00000000-0006-0000-0600-000062000000}">
      <text>
        <r>
          <rPr>
            <b/>
            <sz val="8"/>
            <color indexed="81"/>
            <rFont val="Tahoma"/>
            <family val="2"/>
          </rPr>
          <t xml:space="preserve">ANNUAL PAY refers to the actual gross pay you should receive for 26 or 27 (if applicable) pay periods.  
</t>
        </r>
      </text>
    </comment>
    <comment ref="C106" authorId="0" shapeId="0" xr:uid="{00000000-0006-0000-0600-000063000000}">
      <text>
        <r>
          <rPr>
            <b/>
            <sz val="8"/>
            <color indexed="81"/>
            <rFont val="Tahoma"/>
            <family val="2"/>
          </rPr>
          <t>FF BASE PAY refers to the "True Base Pay" of a federal firefighter.  It is the base pay that is credible for retirement, TSP, life insurance, and other purposes.  This is the amount that will be used to calculate your "High 3" salary.</t>
        </r>
      </text>
    </comment>
    <comment ref="C107" authorId="0" shapeId="0" xr:uid="{00000000-0006-0000-0600-000064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108" authorId="0" shapeId="0" xr:uid="{00000000-0006-0000-0600-000065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109" authorId="0" shapeId="0" xr:uid="{00000000-0006-0000-0600-000066000000}">
      <text>
        <r>
          <rPr>
            <b/>
            <sz val="8"/>
            <color indexed="81"/>
            <rFont val="Tahoma"/>
            <family val="2"/>
          </rPr>
          <t xml:space="preserve">FF RATE refers to the hourly pay actually received for the first 106 hours.  It is less than the normal GS rate.
</t>
        </r>
      </text>
    </comment>
    <comment ref="C110" authorId="0" shapeId="0" xr:uid="{00000000-0006-0000-0600-000067000000}">
      <text>
        <r>
          <rPr>
            <b/>
            <sz val="8"/>
            <color indexed="81"/>
            <rFont val="Tahoma"/>
            <family val="2"/>
          </rPr>
          <t xml:space="preserve">OT PAY refers to overtime pay earned for all hours beyond 106.  On your LES, it is referred to as "OT IN TOUR."
</t>
        </r>
      </text>
    </comment>
    <comment ref="C111" authorId="0" shapeId="0" xr:uid="{00000000-0006-0000-0600-000068000000}">
      <text>
        <r>
          <rPr>
            <b/>
            <sz val="8"/>
            <color indexed="81"/>
            <rFont val="Tahoma"/>
            <family val="2"/>
          </rPr>
          <t>OT RATE refers to 1 1/2 times the FF hourly rate.  It is less than GS overtime.</t>
        </r>
      </text>
    </comment>
    <comment ref="C112" authorId="0" shapeId="0" xr:uid="{00000000-0006-0000-0600-000069000000}">
      <text>
        <r>
          <rPr>
            <b/>
            <sz val="8"/>
            <color indexed="81"/>
            <rFont val="Tahoma"/>
            <family val="2"/>
          </rPr>
          <t xml:space="preserve">COLA refers to the Non-Foreign Cost of Living Allowance federal workers receive when employed outside the continental U.S.
</t>
        </r>
      </text>
    </comment>
    <comment ref="C113" authorId="0" shapeId="0" xr:uid="{00000000-0006-0000-0600-00006A000000}">
      <text>
        <r>
          <rPr>
            <b/>
            <sz val="8"/>
            <color indexed="81"/>
            <rFont val="Tahoma"/>
            <family val="2"/>
          </rPr>
          <t xml:space="preserve">PAY PERIOD refers to the actual gross pay you should receive each pay period.  It is derived by adding FF and OT pay together plus COLA (if applicable).
</t>
        </r>
      </text>
    </comment>
    <comment ref="C114" authorId="0" shapeId="0" xr:uid="{00000000-0006-0000-0600-00006B000000}">
      <text>
        <r>
          <rPr>
            <b/>
            <sz val="8"/>
            <color indexed="81"/>
            <rFont val="Tahoma"/>
            <family val="2"/>
          </rPr>
          <t xml:space="preserve">ANNUAL PAY refers to the actual gross pay you should receive for 26 or 27 (if applicable) pay periods.  
</t>
        </r>
      </text>
    </comment>
    <comment ref="C115" authorId="0" shapeId="0" xr:uid="{00000000-0006-0000-0600-00006C000000}">
      <text>
        <r>
          <rPr>
            <b/>
            <sz val="8"/>
            <color indexed="81"/>
            <rFont val="Tahoma"/>
            <family val="2"/>
          </rPr>
          <t>FF BASE PAY refers to the "True Base Pay" of a federal firefighter.  It is the base pay that is credible for retirement, TSP, life insurance, and other purposes.  This is the amount that will be used to calculate your "High 3" salary.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or 27 (if applicable)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18" authorId="0" shapeId="0" xr:uid="{00000000-0006-0000-0700-00000C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19" authorId="0" shapeId="0" xr:uid="{00000000-0006-0000-0700-00000D000000}">
      <text>
        <r>
          <rPr>
            <b/>
            <sz val="8"/>
            <color indexed="81"/>
            <rFont val="Tahoma"/>
            <family val="2"/>
          </rPr>
          <t xml:space="preserve">GS PAY refers to amount earned for the regular 80 hours a pay period (40 a week).  On your LES, it is referred to as "REGULAR PAY."
</t>
        </r>
      </text>
    </comment>
    <comment ref="C20" authorId="0" shapeId="0" xr:uid="{00000000-0006-0000-0700-00000E000000}">
      <text>
        <r>
          <rPr>
            <b/>
            <sz val="8"/>
            <color indexed="81"/>
            <rFont val="Tahoma"/>
            <family val="2"/>
          </rPr>
          <t xml:space="preserve">GS RATE refers to the hourly pay actually received for those 80 hours.  It is the normal GS rate.
</t>
        </r>
      </text>
    </comment>
    <comment ref="C21" authorId="0" shapeId="0" xr:uid="{00000000-0006-0000-0700-00000F000000}">
      <text>
        <r>
          <rPr>
            <b/>
            <sz val="8"/>
            <color indexed="81"/>
            <rFont val="Tahoma"/>
            <family val="2"/>
          </rPr>
          <t xml:space="preserve">FF PAY refers to the amount earned for 26 hours a pay period (hours 41 to 53 a week).  On your LES, it is also referred to as "REGULAR PAY."
</t>
        </r>
      </text>
    </comment>
    <comment ref="C22" authorId="0" shapeId="0" xr:uid="{00000000-0006-0000-0700-000010000000}">
      <text>
        <r>
          <rPr>
            <b/>
            <sz val="8"/>
            <color indexed="81"/>
            <rFont val="Tahoma"/>
            <family val="2"/>
          </rPr>
          <t>FF RATE refers to the hourly pay actually received for those 26 hours.  It is the same as shift firefighters of equal grade and step receive.</t>
        </r>
      </text>
    </comment>
    <comment ref="C23" authorId="0" shapeId="0" xr:uid="{00000000-0006-0000-0700-000011000000}">
      <text>
        <r>
          <rPr>
            <b/>
            <sz val="8"/>
            <color indexed="81"/>
            <rFont val="Tahoma"/>
            <family val="2"/>
          </rPr>
          <t xml:space="preserve">OT PAY refers to overtime pay earned for all hours beyond 106.  On your LES, it is referred to as "OT IN TOUR."
</t>
        </r>
      </text>
    </comment>
    <comment ref="C24" authorId="0" shapeId="0" xr:uid="{00000000-0006-0000-0700-000012000000}">
      <text>
        <r>
          <rPr>
            <b/>
            <sz val="8"/>
            <color indexed="81"/>
            <rFont val="Tahoma"/>
            <family val="2"/>
          </rPr>
          <t>OT RATE refers to 1 1/2 times the FF hourly rate.  It is less than GS overtime.</t>
        </r>
      </text>
    </comment>
    <comment ref="C25" authorId="0" shapeId="0" xr:uid="{00000000-0006-0000-0700-000013000000}">
      <text>
        <r>
          <rPr>
            <b/>
            <sz val="8"/>
            <color indexed="81"/>
            <rFont val="Tahoma"/>
            <family val="2"/>
          </rPr>
          <t xml:space="preserve">COLA refers to the Non-Foreign Cost of Living Allowance federal workers receive when employed outside the continental U.S.
</t>
        </r>
      </text>
    </comment>
    <comment ref="C26" authorId="0" shapeId="0" xr:uid="{00000000-0006-0000-0700-000014000000}">
      <text>
        <r>
          <rPr>
            <b/>
            <sz val="8"/>
            <color indexed="81"/>
            <rFont val="Tahoma"/>
            <family val="2"/>
          </rPr>
          <t>PAY PERIOD refers to the actual gross pay you should receive each pay period.  It is derived by adding GS, FF, and OT pay together plus COLA (if applicable).</t>
        </r>
      </text>
    </comment>
    <comment ref="C27" authorId="0" shapeId="0" xr:uid="{00000000-0006-0000-0700-000015000000}">
      <text>
        <r>
          <rPr>
            <b/>
            <sz val="8"/>
            <color indexed="81"/>
            <rFont val="Tahoma"/>
            <family val="2"/>
          </rPr>
          <t xml:space="preserve">ANNUAL PAY refers to the actual gross pay you should receive for 26 or 27 (if applicable) pay periods.  
</t>
        </r>
      </text>
    </comment>
    <comment ref="C28" authorId="0" shapeId="0" xr:uid="{00000000-0006-0000-0700-000016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29" authorId="0" shapeId="0" xr:uid="{00000000-0006-0000-0700-000017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30" authorId="0" shapeId="0" xr:uid="{00000000-0006-0000-0700-000018000000}">
      <text>
        <r>
          <rPr>
            <b/>
            <sz val="8"/>
            <color indexed="81"/>
            <rFont val="Tahoma"/>
            <family val="2"/>
          </rPr>
          <t xml:space="preserve">GS PAY refers to amount earned for the regular 80 hours a pay period (40 a week).  On your LES, it is referred to as "REGULAR PAY."
</t>
        </r>
      </text>
    </comment>
    <comment ref="C31" authorId="0" shapeId="0" xr:uid="{00000000-0006-0000-0700-000019000000}">
      <text>
        <r>
          <rPr>
            <b/>
            <sz val="8"/>
            <color indexed="81"/>
            <rFont val="Tahoma"/>
            <family val="2"/>
          </rPr>
          <t xml:space="preserve">GS RATE refers to the hourly pay actually received for those 80 hours.  It is the normal GS rate.
</t>
        </r>
      </text>
    </comment>
    <comment ref="C32" authorId="0" shapeId="0" xr:uid="{00000000-0006-0000-0700-00001A000000}">
      <text>
        <r>
          <rPr>
            <b/>
            <sz val="8"/>
            <color indexed="81"/>
            <rFont val="Tahoma"/>
            <family val="2"/>
          </rPr>
          <t xml:space="preserve">FF PAY refers to the amount earned for 26 hours a pay period (hours 41 to 53 a week).  On your LES, it is also referred to as "REGULAR PAY."
</t>
        </r>
      </text>
    </comment>
    <comment ref="C33" authorId="0" shapeId="0" xr:uid="{00000000-0006-0000-0700-00001B000000}">
      <text>
        <r>
          <rPr>
            <b/>
            <sz val="8"/>
            <color indexed="81"/>
            <rFont val="Tahoma"/>
            <family val="2"/>
          </rPr>
          <t>FF RATE refers to the hourly pay actually received for those 26 hours.  It is the same as shift firefighters of equal grade and step receive.</t>
        </r>
      </text>
    </comment>
    <comment ref="C34" authorId="0" shapeId="0" xr:uid="{00000000-0006-0000-0700-00001C000000}">
      <text>
        <r>
          <rPr>
            <b/>
            <sz val="8"/>
            <color indexed="81"/>
            <rFont val="Tahoma"/>
            <family val="2"/>
          </rPr>
          <t xml:space="preserve">OT PAY refers to overtime pay earned for all hours beyond 106.  On your LES, it is referred to as "OT IN TOUR."
</t>
        </r>
      </text>
    </comment>
    <comment ref="C35" authorId="0" shapeId="0" xr:uid="{00000000-0006-0000-0700-00001D000000}">
      <text>
        <r>
          <rPr>
            <b/>
            <sz val="8"/>
            <color indexed="81"/>
            <rFont val="Tahoma"/>
            <family val="2"/>
          </rPr>
          <t>OT RATE refers to 1 1/2 times the FF hourly rate.  It is less than GS overtime.</t>
        </r>
      </text>
    </comment>
    <comment ref="C36" authorId="0" shapeId="0" xr:uid="{00000000-0006-0000-0700-00001E000000}">
      <text>
        <r>
          <rPr>
            <b/>
            <sz val="8"/>
            <color indexed="81"/>
            <rFont val="Tahoma"/>
            <family val="2"/>
          </rPr>
          <t xml:space="preserve">COLA refers to the Non-Foreign Cost of Living Allowance federal workers receive when employed outside the continental U.S.
</t>
        </r>
      </text>
    </comment>
    <comment ref="C37" authorId="0" shapeId="0" xr:uid="{00000000-0006-0000-0700-00001F000000}">
      <text>
        <r>
          <rPr>
            <b/>
            <sz val="8"/>
            <color indexed="81"/>
            <rFont val="Tahoma"/>
            <family val="2"/>
          </rPr>
          <t>PAY PERIOD refers to the actual gross pay you should receive each pay period.  It is derived by adding GS, FF, and OT pay together plus COLA (if applicable).</t>
        </r>
      </text>
    </comment>
    <comment ref="C38" authorId="0" shapeId="0" xr:uid="{00000000-0006-0000-0700-000020000000}">
      <text>
        <r>
          <rPr>
            <b/>
            <sz val="8"/>
            <color indexed="81"/>
            <rFont val="Tahoma"/>
            <family val="2"/>
          </rPr>
          <t xml:space="preserve">ANNUAL PAY refers to the actual gross pay you should receive for 26 or 27 (if applicable) pay periods.  
</t>
        </r>
      </text>
    </comment>
    <comment ref="C39" authorId="0" shapeId="0" xr:uid="{00000000-0006-0000-0700-000021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40" authorId="0" shapeId="0" xr:uid="{00000000-0006-0000-0700-000022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41" authorId="0" shapeId="0" xr:uid="{00000000-0006-0000-0700-000023000000}">
      <text>
        <r>
          <rPr>
            <b/>
            <sz val="8"/>
            <color indexed="81"/>
            <rFont val="Tahoma"/>
            <family val="2"/>
          </rPr>
          <t xml:space="preserve">GS PAY refers to amount earned for the regular 80 hours a pay period (40 a week).  On your LES, it is referred to as "REGULAR PAY."
</t>
        </r>
      </text>
    </comment>
    <comment ref="C42" authorId="0" shapeId="0" xr:uid="{00000000-0006-0000-0700-000024000000}">
      <text>
        <r>
          <rPr>
            <b/>
            <sz val="8"/>
            <color indexed="81"/>
            <rFont val="Tahoma"/>
            <family val="2"/>
          </rPr>
          <t xml:space="preserve">GS RATE refers to the hourly pay actually received for those 80 hours.  It is the normal GS rate.
</t>
        </r>
      </text>
    </comment>
    <comment ref="C43" authorId="0" shapeId="0" xr:uid="{00000000-0006-0000-0700-000025000000}">
      <text>
        <r>
          <rPr>
            <b/>
            <sz val="8"/>
            <color indexed="81"/>
            <rFont val="Tahoma"/>
            <family val="2"/>
          </rPr>
          <t xml:space="preserve">FF PAY refers to the amount earned for 26 hours a pay period (hours 41 to 53 a week).  On your LES, it is also referred to as "REGULAR PAY."
</t>
        </r>
      </text>
    </comment>
    <comment ref="C44" authorId="0" shapeId="0" xr:uid="{00000000-0006-0000-0700-000026000000}">
      <text>
        <r>
          <rPr>
            <b/>
            <sz val="8"/>
            <color indexed="81"/>
            <rFont val="Tahoma"/>
            <family val="2"/>
          </rPr>
          <t>FF RATE refers to the hourly pay actually received for those 26 hours.  It is the same as shift firefighters of equal grade and step receive.</t>
        </r>
      </text>
    </comment>
    <comment ref="C45" authorId="0" shapeId="0" xr:uid="{00000000-0006-0000-0700-000027000000}">
      <text>
        <r>
          <rPr>
            <b/>
            <sz val="8"/>
            <color indexed="81"/>
            <rFont val="Tahoma"/>
            <family val="2"/>
          </rPr>
          <t xml:space="preserve">OT PAY refers to overtime pay earned for all hours beyond 106.  On your LES, it is referred to as "OT IN TOUR."
</t>
        </r>
      </text>
    </comment>
    <comment ref="C46" authorId="0" shapeId="0" xr:uid="{00000000-0006-0000-0700-000028000000}">
      <text>
        <r>
          <rPr>
            <b/>
            <sz val="8"/>
            <color indexed="81"/>
            <rFont val="Tahoma"/>
            <family val="2"/>
          </rPr>
          <t>OT RATE refers to 1 1/2 times the FF hourly rate.  It is less than GS overtime.</t>
        </r>
      </text>
    </comment>
    <comment ref="C47" authorId="0" shapeId="0" xr:uid="{00000000-0006-0000-0700-000029000000}">
      <text>
        <r>
          <rPr>
            <b/>
            <sz val="8"/>
            <color indexed="81"/>
            <rFont val="Tahoma"/>
            <family val="2"/>
          </rPr>
          <t xml:space="preserve">COLA refers to the Non-Foreign Cost of Living Allowance federal workers receive when employed outside the continental U.S.
</t>
        </r>
      </text>
    </comment>
    <comment ref="C48" authorId="0" shapeId="0" xr:uid="{00000000-0006-0000-0700-00002A000000}">
      <text>
        <r>
          <rPr>
            <b/>
            <sz val="8"/>
            <color indexed="81"/>
            <rFont val="Tahoma"/>
            <family val="2"/>
          </rPr>
          <t>PAY PERIOD refers to the actual gross pay you should receive each pay period.  It is derived by adding GS, FF, and OT pay together plus COLA (if applicable).</t>
        </r>
      </text>
    </comment>
    <comment ref="C49" authorId="0" shapeId="0" xr:uid="{00000000-0006-0000-0700-00002B000000}">
      <text>
        <r>
          <rPr>
            <b/>
            <sz val="8"/>
            <color indexed="81"/>
            <rFont val="Tahoma"/>
            <family val="2"/>
          </rPr>
          <t xml:space="preserve">ANNUAL PAY refers to the actual gross pay you should receive for 26 or 27 (if applicable) pay periods.  
</t>
        </r>
      </text>
    </comment>
    <comment ref="C50" authorId="0" shapeId="0" xr:uid="{00000000-0006-0000-0700-00002C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52" authorId="0" shapeId="0" xr:uid="{00000000-0006-0000-0700-00002D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53" authorId="0" shapeId="0" xr:uid="{00000000-0006-0000-0700-00002E000000}">
      <text>
        <r>
          <rPr>
            <b/>
            <sz val="8"/>
            <color indexed="81"/>
            <rFont val="Tahoma"/>
            <family val="2"/>
          </rPr>
          <t xml:space="preserve">GS PAY refers to amount earned for the regular 80 hours a pay period (40 a week).  On your LES, it is referred to as "REGULAR PAY."
</t>
        </r>
      </text>
    </comment>
    <comment ref="C54" authorId="0" shapeId="0" xr:uid="{00000000-0006-0000-0700-00002F000000}">
      <text>
        <r>
          <rPr>
            <b/>
            <sz val="8"/>
            <color indexed="81"/>
            <rFont val="Tahoma"/>
            <family val="2"/>
          </rPr>
          <t xml:space="preserve">GS RATE refers to the hourly pay actually received for those 80 hours.  It is the normal GS rate.
</t>
        </r>
      </text>
    </comment>
    <comment ref="C55" authorId="0" shapeId="0" xr:uid="{00000000-0006-0000-0700-000030000000}">
      <text>
        <r>
          <rPr>
            <b/>
            <sz val="8"/>
            <color indexed="81"/>
            <rFont val="Tahoma"/>
            <family val="2"/>
          </rPr>
          <t xml:space="preserve">FF PAY refers to the amount earned for 26 hours a pay period (hours 41 to 53 a week).  On your LES, it is also referred to as "REGULAR PAY."
</t>
        </r>
      </text>
    </comment>
    <comment ref="C56" authorId="0" shapeId="0" xr:uid="{00000000-0006-0000-0700-000031000000}">
      <text>
        <r>
          <rPr>
            <b/>
            <sz val="8"/>
            <color indexed="81"/>
            <rFont val="Tahoma"/>
            <family val="2"/>
          </rPr>
          <t>FF RATE refers to the hourly pay actually received for those 26 hours.  It is the same as shift firefighters of equal grade and step receive.</t>
        </r>
      </text>
    </comment>
    <comment ref="C57" authorId="0" shapeId="0" xr:uid="{00000000-0006-0000-0700-000032000000}">
      <text>
        <r>
          <rPr>
            <b/>
            <sz val="8"/>
            <color indexed="81"/>
            <rFont val="Tahoma"/>
            <family val="2"/>
          </rPr>
          <t xml:space="preserve">OT PAY refers to overtime pay earned for all hours beyond 106.  On your LES, it is referred to as "OT IN TOUR."
</t>
        </r>
      </text>
    </comment>
    <comment ref="C58" authorId="0" shapeId="0" xr:uid="{00000000-0006-0000-0700-000033000000}">
      <text>
        <r>
          <rPr>
            <b/>
            <sz val="8"/>
            <color indexed="81"/>
            <rFont val="Tahoma"/>
            <family val="2"/>
          </rPr>
          <t>OT RATE refers to 1 1/2 times the FF hourly rate.  It is less than GS overtime.</t>
        </r>
      </text>
    </comment>
    <comment ref="C59" authorId="0" shapeId="0" xr:uid="{00000000-0006-0000-0700-000034000000}">
      <text>
        <r>
          <rPr>
            <b/>
            <sz val="8"/>
            <color indexed="81"/>
            <rFont val="Tahoma"/>
            <family val="2"/>
          </rPr>
          <t xml:space="preserve">COLA refers to the Non-Foreign Cost of Living Allowance federal workers receive when employed outside the continental U.S.
</t>
        </r>
      </text>
    </comment>
    <comment ref="C60" authorId="0" shapeId="0" xr:uid="{00000000-0006-0000-0700-000035000000}">
      <text>
        <r>
          <rPr>
            <b/>
            <sz val="8"/>
            <color indexed="81"/>
            <rFont val="Tahoma"/>
            <family val="2"/>
          </rPr>
          <t>PAY PERIOD refers to the actual gross pay you should receive each pay period.  It is derived by adding GS, FF, and OT pay together plus COLA (if applicable).</t>
        </r>
      </text>
    </comment>
    <comment ref="C61" authorId="0" shapeId="0" xr:uid="{00000000-0006-0000-0700-000036000000}">
      <text>
        <r>
          <rPr>
            <b/>
            <sz val="8"/>
            <color indexed="81"/>
            <rFont val="Tahoma"/>
            <family val="2"/>
          </rPr>
          <t xml:space="preserve">ANNUAL PAY refers to the actual gross pay you should receive for 26 or 27 (if applicable) pay periods.  
</t>
        </r>
      </text>
    </comment>
    <comment ref="C62" authorId="0" shapeId="0" xr:uid="{00000000-0006-0000-0700-000037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63" authorId="0" shapeId="0" xr:uid="{00000000-0006-0000-0700-000038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64" authorId="0" shapeId="0" xr:uid="{00000000-0006-0000-0700-000039000000}">
      <text>
        <r>
          <rPr>
            <b/>
            <sz val="8"/>
            <color indexed="81"/>
            <rFont val="Tahoma"/>
            <family val="2"/>
          </rPr>
          <t xml:space="preserve">GS PAY refers to amount earned for the regular 80 hours a pay period (40 a week).  On your LES, it is referred to as "REGULAR PAY."
</t>
        </r>
      </text>
    </comment>
    <comment ref="C65" authorId="0" shapeId="0" xr:uid="{00000000-0006-0000-0700-00003A000000}">
      <text>
        <r>
          <rPr>
            <b/>
            <sz val="8"/>
            <color indexed="81"/>
            <rFont val="Tahoma"/>
            <family val="2"/>
          </rPr>
          <t xml:space="preserve">GS RATE refers to the hourly pay actually received for those 80 hours.  It is the normal GS rate.
</t>
        </r>
      </text>
    </comment>
    <comment ref="C66" authorId="0" shapeId="0" xr:uid="{00000000-0006-0000-0700-00003B000000}">
      <text>
        <r>
          <rPr>
            <b/>
            <sz val="8"/>
            <color indexed="81"/>
            <rFont val="Tahoma"/>
            <family val="2"/>
          </rPr>
          <t xml:space="preserve">FF PAY refers to the amount earned for 26 hours a pay period (hours 41 to 53 a week).  On your LES, it is also referred to as "REGULAR PAY."
</t>
        </r>
      </text>
    </comment>
    <comment ref="C67" authorId="0" shapeId="0" xr:uid="{00000000-0006-0000-0700-00003C000000}">
      <text>
        <r>
          <rPr>
            <b/>
            <sz val="8"/>
            <color indexed="81"/>
            <rFont val="Tahoma"/>
            <family val="2"/>
          </rPr>
          <t>FF RATE refers to the hourly pay actually received for those 26 hours.  It is the same as shift firefighters of equal grade and step receive.</t>
        </r>
      </text>
    </comment>
    <comment ref="C68" authorId="0" shapeId="0" xr:uid="{00000000-0006-0000-0700-00003D000000}">
      <text>
        <r>
          <rPr>
            <b/>
            <sz val="8"/>
            <color indexed="81"/>
            <rFont val="Tahoma"/>
            <family val="2"/>
          </rPr>
          <t xml:space="preserve">OT PAY refers to overtime pay earned for all hours beyond 106.  On your LES, it is referred to as "OT IN TOUR."
</t>
        </r>
      </text>
    </comment>
    <comment ref="C69" authorId="0" shapeId="0" xr:uid="{00000000-0006-0000-0700-00003E000000}">
      <text>
        <r>
          <rPr>
            <b/>
            <sz val="8"/>
            <color indexed="81"/>
            <rFont val="Tahoma"/>
            <family val="2"/>
          </rPr>
          <t>OT RATE refers to 1 1/2 times the FF hourly rate.  It is less than GS overtime.</t>
        </r>
      </text>
    </comment>
    <comment ref="C70" authorId="0" shapeId="0" xr:uid="{00000000-0006-0000-0700-00003F000000}">
      <text>
        <r>
          <rPr>
            <b/>
            <sz val="8"/>
            <color indexed="81"/>
            <rFont val="Tahoma"/>
            <family val="2"/>
          </rPr>
          <t xml:space="preserve">COLA refers to the Non-Foreign Cost of Living Allowance federal workers receive when employed outside the continental U.S.
</t>
        </r>
      </text>
    </comment>
    <comment ref="C71" authorId="0" shapeId="0" xr:uid="{00000000-0006-0000-0700-000040000000}">
      <text>
        <r>
          <rPr>
            <b/>
            <sz val="8"/>
            <color indexed="81"/>
            <rFont val="Tahoma"/>
            <family val="2"/>
          </rPr>
          <t>PAY PERIOD refers to the actual gross pay you should receive each pay period.  It is derived by adding GS, FF, and OT pay together plus COLA (if applicable).</t>
        </r>
      </text>
    </comment>
    <comment ref="C72" authorId="0" shapeId="0" xr:uid="{00000000-0006-0000-0700-000041000000}">
      <text>
        <r>
          <rPr>
            <b/>
            <sz val="8"/>
            <color indexed="81"/>
            <rFont val="Tahoma"/>
            <family val="2"/>
          </rPr>
          <t xml:space="preserve">ANNUAL PAY refers to the actual gross pay you should receive for 26 or 27 (if applicable) pay periods.  
</t>
        </r>
      </text>
    </comment>
    <comment ref="C73" authorId="0" shapeId="0" xr:uid="{00000000-0006-0000-0700-00004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74" authorId="0" shapeId="0" xr:uid="{00000000-0006-0000-0700-000043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75" authorId="0" shapeId="0" xr:uid="{00000000-0006-0000-0700-000044000000}">
      <text>
        <r>
          <rPr>
            <b/>
            <sz val="8"/>
            <color indexed="81"/>
            <rFont val="Tahoma"/>
            <family val="2"/>
          </rPr>
          <t xml:space="preserve">GS PAY refers to amount earned for the regular 80 hours a pay period (40 a week).  On your LES, it is referred to as "REGULAR PAY."
</t>
        </r>
      </text>
    </comment>
    <comment ref="C76" authorId="0" shapeId="0" xr:uid="{00000000-0006-0000-0700-000045000000}">
      <text>
        <r>
          <rPr>
            <b/>
            <sz val="8"/>
            <color indexed="81"/>
            <rFont val="Tahoma"/>
            <family val="2"/>
          </rPr>
          <t xml:space="preserve">GS RATE refers to the hourly pay actually received for those 80 hours.  It is the normal GS rate.
</t>
        </r>
      </text>
    </comment>
    <comment ref="C77" authorId="0" shapeId="0" xr:uid="{00000000-0006-0000-0700-000046000000}">
      <text>
        <r>
          <rPr>
            <b/>
            <sz val="8"/>
            <color indexed="81"/>
            <rFont val="Tahoma"/>
            <family val="2"/>
          </rPr>
          <t xml:space="preserve">FF PAY refers to the amount earned for 26 hours a pay period (hours 41 to 53 a week).  On your LES, it is also referred to as "REGULAR PAY."
</t>
        </r>
      </text>
    </comment>
    <comment ref="C78" authorId="0" shapeId="0" xr:uid="{00000000-0006-0000-0700-000047000000}">
      <text>
        <r>
          <rPr>
            <b/>
            <sz val="8"/>
            <color indexed="81"/>
            <rFont val="Tahoma"/>
            <family val="2"/>
          </rPr>
          <t>FF RATE refers to the hourly pay actually received for those 26 hours.  It is the same as shift firefighters of equal grade and step receive.</t>
        </r>
      </text>
    </comment>
    <comment ref="C79" authorId="0" shapeId="0" xr:uid="{00000000-0006-0000-0700-000048000000}">
      <text>
        <r>
          <rPr>
            <b/>
            <sz val="8"/>
            <color indexed="81"/>
            <rFont val="Tahoma"/>
            <family val="2"/>
          </rPr>
          <t xml:space="preserve">OT PAY refers to overtime pay earned for all hours beyond 106.  On your LES, it is referred to as "OT IN TOUR."
</t>
        </r>
      </text>
    </comment>
    <comment ref="C80" authorId="0" shapeId="0" xr:uid="{00000000-0006-0000-0700-000049000000}">
      <text>
        <r>
          <rPr>
            <b/>
            <sz val="8"/>
            <color indexed="81"/>
            <rFont val="Tahoma"/>
            <family val="2"/>
          </rPr>
          <t>OT RATE refers to 1 1/2 times the FF hourly rate.  It is less than GS overtime.</t>
        </r>
      </text>
    </comment>
    <comment ref="C81" authorId="0" shapeId="0" xr:uid="{00000000-0006-0000-0700-00004A000000}">
      <text>
        <r>
          <rPr>
            <b/>
            <sz val="8"/>
            <color indexed="81"/>
            <rFont val="Tahoma"/>
            <family val="2"/>
          </rPr>
          <t xml:space="preserve">COLA refers to the Non-Foreign Cost of Living Allowance federal workers receive when employed outside the continental U.S.
</t>
        </r>
      </text>
    </comment>
    <comment ref="C82" authorId="0" shapeId="0" xr:uid="{00000000-0006-0000-0700-00004B000000}">
      <text>
        <r>
          <rPr>
            <b/>
            <sz val="8"/>
            <color indexed="81"/>
            <rFont val="Tahoma"/>
            <family val="2"/>
          </rPr>
          <t>PAY PERIOD refers to the actual gross pay you should receive each pay period.  It is derived by adding GS, FF, and OT pay together plus COLA (if applicable).</t>
        </r>
      </text>
    </comment>
    <comment ref="C83" authorId="0" shapeId="0" xr:uid="{00000000-0006-0000-0700-00004C000000}">
      <text>
        <r>
          <rPr>
            <b/>
            <sz val="8"/>
            <color indexed="81"/>
            <rFont val="Tahoma"/>
            <family val="2"/>
          </rPr>
          <t xml:space="preserve">ANNUAL PAY refers to the actual gross pay you should receive for 26 or 27 (if applicable) pay periods.  
</t>
        </r>
      </text>
    </comment>
    <comment ref="C84" authorId="0" shapeId="0" xr:uid="{00000000-0006-0000-0700-00004D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85" authorId="0" shapeId="0" xr:uid="{00000000-0006-0000-0700-00004E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6" authorId="0" shapeId="0" xr:uid="{00000000-0006-0000-0700-00004F000000}">
      <text>
        <r>
          <rPr>
            <b/>
            <sz val="8"/>
            <color indexed="81"/>
            <rFont val="Tahoma"/>
            <family val="2"/>
          </rPr>
          <t xml:space="preserve">GS PAY refers to amount earned for the regular 80 hours a pay period (40 a week).  On your LES, it is referred to as "REGULAR PAY."
</t>
        </r>
      </text>
    </comment>
    <comment ref="C87" authorId="0" shapeId="0" xr:uid="{00000000-0006-0000-0700-000050000000}">
      <text>
        <r>
          <rPr>
            <b/>
            <sz val="8"/>
            <color indexed="81"/>
            <rFont val="Tahoma"/>
            <family val="2"/>
          </rPr>
          <t xml:space="preserve">GS RATE refers to the hourly pay actually received for those 80 hours.  It is the normal GS rate.
</t>
        </r>
      </text>
    </comment>
    <comment ref="C88" authorId="0" shapeId="0" xr:uid="{00000000-0006-0000-0700-000051000000}">
      <text>
        <r>
          <rPr>
            <b/>
            <sz val="8"/>
            <color indexed="81"/>
            <rFont val="Tahoma"/>
            <family val="2"/>
          </rPr>
          <t xml:space="preserve">FF PAY refers to the amount earned for 26 hours a pay period (hours 41 to 53 a week).  On your LES, it is also referred to as "REGULAR PAY."
</t>
        </r>
      </text>
    </comment>
    <comment ref="C89" authorId="0" shapeId="0" xr:uid="{00000000-0006-0000-0700-000052000000}">
      <text>
        <r>
          <rPr>
            <b/>
            <sz val="8"/>
            <color indexed="81"/>
            <rFont val="Tahoma"/>
            <family val="2"/>
          </rPr>
          <t>FF RATE refers to the hourly pay actually received for those 26 hours.  It is the same as shift firefighters of equal grade and step receive.</t>
        </r>
      </text>
    </comment>
    <comment ref="C90" authorId="0" shapeId="0" xr:uid="{00000000-0006-0000-0700-000053000000}">
      <text>
        <r>
          <rPr>
            <b/>
            <sz val="8"/>
            <color indexed="81"/>
            <rFont val="Tahoma"/>
            <family val="2"/>
          </rPr>
          <t xml:space="preserve">OT PAY refers to overtime pay earned for all hours beyond 106.  On your LES, it is referred to as "OT IN TOUR."
</t>
        </r>
      </text>
    </comment>
    <comment ref="C91" authorId="0" shapeId="0" xr:uid="{00000000-0006-0000-0700-000054000000}">
      <text>
        <r>
          <rPr>
            <b/>
            <sz val="8"/>
            <color indexed="81"/>
            <rFont val="Tahoma"/>
            <family val="2"/>
          </rPr>
          <t>OT RATE refers to 1 1/2 times the FF hourly rate.  It is less than GS overtime.</t>
        </r>
      </text>
    </comment>
    <comment ref="C92" authorId="0" shapeId="0" xr:uid="{00000000-0006-0000-0700-000055000000}">
      <text>
        <r>
          <rPr>
            <b/>
            <sz val="8"/>
            <color indexed="81"/>
            <rFont val="Tahoma"/>
            <family val="2"/>
          </rPr>
          <t xml:space="preserve">COLA refers to the Non-Foreign Cost of Living Allowance federal workers receive when employed outside the continental U.S.
</t>
        </r>
      </text>
    </comment>
    <comment ref="C93" authorId="0" shapeId="0" xr:uid="{00000000-0006-0000-0700-000056000000}">
      <text>
        <r>
          <rPr>
            <b/>
            <sz val="8"/>
            <color indexed="81"/>
            <rFont val="Tahoma"/>
            <family val="2"/>
          </rPr>
          <t>PAY PERIOD refers to the actual gross pay you should receive each pay period.  It is derived by adding GS, FF, and OT pay together plus COLA (if applicable).</t>
        </r>
      </text>
    </comment>
    <comment ref="C94" authorId="0" shapeId="0" xr:uid="{00000000-0006-0000-0700-000057000000}">
      <text>
        <r>
          <rPr>
            <b/>
            <sz val="8"/>
            <color indexed="81"/>
            <rFont val="Tahoma"/>
            <family val="2"/>
          </rPr>
          <t xml:space="preserve">ANNUAL PAY refers to the actual gross pay you should receive for 26 or 27 (if applicable) pay periods.  
</t>
        </r>
      </text>
    </comment>
    <comment ref="C95" authorId="0" shapeId="0" xr:uid="{00000000-0006-0000-0700-000058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97" authorId="0" shapeId="0" xr:uid="{00000000-0006-0000-0700-000059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98" authorId="0" shapeId="0" xr:uid="{00000000-0006-0000-0700-00005A000000}">
      <text>
        <r>
          <rPr>
            <b/>
            <sz val="8"/>
            <color indexed="81"/>
            <rFont val="Tahoma"/>
            <family val="2"/>
          </rPr>
          <t xml:space="preserve">GS PAY refers to amount earned for the regular 80 hours a pay period (40 a week).  On your LES, it is referred to as "REGULAR PAY."
</t>
        </r>
      </text>
    </comment>
    <comment ref="C99" authorId="0" shapeId="0" xr:uid="{00000000-0006-0000-0700-00005B000000}">
      <text>
        <r>
          <rPr>
            <b/>
            <sz val="8"/>
            <color indexed="81"/>
            <rFont val="Tahoma"/>
            <family val="2"/>
          </rPr>
          <t xml:space="preserve">GS RATE refers to the hourly pay actually received for those 80 hours.  It is the normal GS rate.
</t>
        </r>
      </text>
    </comment>
    <comment ref="C100" authorId="0" shapeId="0" xr:uid="{00000000-0006-0000-0700-00005C000000}">
      <text>
        <r>
          <rPr>
            <b/>
            <sz val="8"/>
            <color indexed="81"/>
            <rFont val="Tahoma"/>
            <family val="2"/>
          </rPr>
          <t xml:space="preserve">FF PAY refers to the amount earned for 26 hours a pay period (hours 41 to 53 a week).  On your LES, it is also referred to as "REGULAR PAY."
</t>
        </r>
      </text>
    </comment>
    <comment ref="C101" authorId="0" shapeId="0" xr:uid="{00000000-0006-0000-0700-00005D000000}">
      <text>
        <r>
          <rPr>
            <b/>
            <sz val="8"/>
            <color indexed="81"/>
            <rFont val="Tahoma"/>
            <family val="2"/>
          </rPr>
          <t>FF RATE refers to the hourly pay actually received for those 26 hours.  It is the same as shift firefighters of equal grade and step receive.</t>
        </r>
      </text>
    </comment>
    <comment ref="C102" authorId="0" shapeId="0" xr:uid="{00000000-0006-0000-0700-00005E000000}">
      <text>
        <r>
          <rPr>
            <b/>
            <sz val="8"/>
            <color indexed="81"/>
            <rFont val="Tahoma"/>
            <family val="2"/>
          </rPr>
          <t xml:space="preserve">OT PAY refers to overtime pay earned for all hours beyond 106.  On your LES, it is referred to as "OT IN TOUR."
</t>
        </r>
      </text>
    </comment>
    <comment ref="C103" authorId="0" shapeId="0" xr:uid="{00000000-0006-0000-0700-00005F000000}">
      <text>
        <r>
          <rPr>
            <b/>
            <sz val="8"/>
            <color indexed="81"/>
            <rFont val="Tahoma"/>
            <family val="2"/>
          </rPr>
          <t>OT RATE refers to 1 1/2 times the FF hourly rate.  It is less than GS overtime.</t>
        </r>
      </text>
    </comment>
    <comment ref="C104" authorId="0" shapeId="0" xr:uid="{00000000-0006-0000-0700-000060000000}">
      <text>
        <r>
          <rPr>
            <b/>
            <sz val="8"/>
            <color indexed="81"/>
            <rFont val="Tahoma"/>
            <family val="2"/>
          </rPr>
          <t xml:space="preserve">COLA refers to the Non-Foreign Cost of Living Allowance federal workers receive when employed outside the continental U.S.
</t>
        </r>
      </text>
    </comment>
    <comment ref="C105" authorId="0" shapeId="0" xr:uid="{00000000-0006-0000-0700-000061000000}">
      <text>
        <r>
          <rPr>
            <b/>
            <sz val="8"/>
            <color indexed="81"/>
            <rFont val="Tahoma"/>
            <family val="2"/>
          </rPr>
          <t>PAY PERIOD refers to the actual gross pay you should receive each pay period.  It is derived by adding GS, FF, and OT pay together plus COLA (if applicable).</t>
        </r>
      </text>
    </comment>
    <comment ref="C106" authorId="0" shapeId="0" xr:uid="{00000000-0006-0000-0700-000062000000}">
      <text>
        <r>
          <rPr>
            <b/>
            <sz val="8"/>
            <color indexed="81"/>
            <rFont val="Tahoma"/>
            <family val="2"/>
          </rPr>
          <t xml:space="preserve">ANNUAL PAY refers to the actual gross pay you should receive for 26 or 27 (if applicable) pay periods.  
</t>
        </r>
      </text>
    </comment>
    <comment ref="C107" authorId="0" shapeId="0" xr:uid="{00000000-0006-0000-0700-000063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108" authorId="0" shapeId="0" xr:uid="{00000000-0006-0000-0700-000064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109" authorId="0" shapeId="0" xr:uid="{00000000-0006-0000-0700-000065000000}">
      <text>
        <r>
          <rPr>
            <b/>
            <sz val="8"/>
            <color indexed="81"/>
            <rFont val="Tahoma"/>
            <family val="2"/>
          </rPr>
          <t xml:space="preserve">GS PAY refers to amount earned for the regular 80 hours a pay period (40 a week).  On your LES, it is referred to as "REGULAR PAY."
</t>
        </r>
      </text>
    </comment>
    <comment ref="C110" authorId="0" shapeId="0" xr:uid="{00000000-0006-0000-0700-000066000000}">
      <text>
        <r>
          <rPr>
            <b/>
            <sz val="8"/>
            <color indexed="81"/>
            <rFont val="Tahoma"/>
            <family val="2"/>
          </rPr>
          <t xml:space="preserve">GS RATE refers to the hourly pay actually received for those 80 hours.  It is the normal GS rate.
</t>
        </r>
      </text>
    </comment>
    <comment ref="C111" authorId="0" shapeId="0" xr:uid="{00000000-0006-0000-0700-000067000000}">
      <text>
        <r>
          <rPr>
            <b/>
            <sz val="8"/>
            <color indexed="81"/>
            <rFont val="Tahoma"/>
            <family val="2"/>
          </rPr>
          <t xml:space="preserve">FF PAY refers to the amount earned for 26 hours a pay period (hours 41 to 53 a week).  On your LES, it is also referred to as "REGULAR PAY."
</t>
        </r>
      </text>
    </comment>
    <comment ref="C112" authorId="0" shapeId="0" xr:uid="{00000000-0006-0000-0700-000068000000}">
      <text>
        <r>
          <rPr>
            <b/>
            <sz val="8"/>
            <color indexed="81"/>
            <rFont val="Tahoma"/>
            <family val="2"/>
          </rPr>
          <t>FF RATE refers to the hourly pay actually received for those 26 hours.  It is the same as shift firefighters of equal grade and step receive.</t>
        </r>
      </text>
    </comment>
    <comment ref="C113" authorId="0" shapeId="0" xr:uid="{00000000-0006-0000-0700-000069000000}">
      <text>
        <r>
          <rPr>
            <b/>
            <sz val="8"/>
            <color indexed="81"/>
            <rFont val="Tahoma"/>
            <family val="2"/>
          </rPr>
          <t xml:space="preserve">OT PAY refers to overtime pay earned for all hours beyond 106.  On your LES, it is referred to as "OT IN TOUR."
</t>
        </r>
      </text>
    </comment>
    <comment ref="C114" authorId="0" shapeId="0" xr:uid="{00000000-0006-0000-0700-00006A000000}">
      <text>
        <r>
          <rPr>
            <b/>
            <sz val="8"/>
            <color indexed="81"/>
            <rFont val="Tahoma"/>
            <family val="2"/>
          </rPr>
          <t>OT RATE refers to 1 1/2 times the FF hourly rate.  It is less than GS overtime.</t>
        </r>
      </text>
    </comment>
    <comment ref="C115" authorId="0" shapeId="0" xr:uid="{00000000-0006-0000-0700-00006B000000}">
      <text>
        <r>
          <rPr>
            <b/>
            <sz val="8"/>
            <color indexed="81"/>
            <rFont val="Tahoma"/>
            <family val="2"/>
          </rPr>
          <t xml:space="preserve">COLA refers to the Non-Foreign Cost of Living Allowance federal workers receive when employed outside the continental U.S.
</t>
        </r>
      </text>
    </comment>
    <comment ref="C116" authorId="0" shapeId="0" xr:uid="{00000000-0006-0000-0700-00006C000000}">
      <text>
        <r>
          <rPr>
            <b/>
            <sz val="8"/>
            <color indexed="81"/>
            <rFont val="Tahoma"/>
            <family val="2"/>
          </rPr>
          <t>PAY PERIOD refers to the actual gross pay you should receive each pay period.  It is derived by adding GS, FF, and OT pay together plus COLA (if applicable).</t>
        </r>
      </text>
    </comment>
    <comment ref="C117" authorId="0" shapeId="0" xr:uid="{00000000-0006-0000-0700-00006D000000}">
      <text>
        <r>
          <rPr>
            <b/>
            <sz val="8"/>
            <color indexed="81"/>
            <rFont val="Tahoma"/>
            <family val="2"/>
          </rPr>
          <t xml:space="preserve">ANNUAL PAY refers to the actual gross pay you should receive for 26 or 27 (if applicable) pay periods.  
</t>
        </r>
      </text>
    </comment>
    <comment ref="C118" authorId="0" shapeId="0" xr:uid="{00000000-0006-0000-0700-00006E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119" authorId="0" shapeId="0" xr:uid="{00000000-0006-0000-0700-00006F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120" authorId="0" shapeId="0" xr:uid="{00000000-0006-0000-0700-000070000000}">
      <text>
        <r>
          <rPr>
            <b/>
            <sz val="8"/>
            <color indexed="81"/>
            <rFont val="Tahoma"/>
            <family val="2"/>
          </rPr>
          <t xml:space="preserve">GS PAY refers to amount earned for the regular 80 hours a pay period (40 a week).  On your LES, it is referred to as "REGULAR PAY."
</t>
        </r>
      </text>
    </comment>
    <comment ref="C121" authorId="0" shapeId="0" xr:uid="{00000000-0006-0000-0700-000071000000}">
      <text>
        <r>
          <rPr>
            <b/>
            <sz val="8"/>
            <color indexed="81"/>
            <rFont val="Tahoma"/>
            <family val="2"/>
          </rPr>
          <t xml:space="preserve">GS RATE refers to the hourly pay actually received for those 80 hours.  It is the normal GS rate.
</t>
        </r>
      </text>
    </comment>
    <comment ref="C122" authorId="0" shapeId="0" xr:uid="{00000000-0006-0000-0700-000072000000}">
      <text>
        <r>
          <rPr>
            <b/>
            <sz val="8"/>
            <color indexed="81"/>
            <rFont val="Tahoma"/>
            <family val="2"/>
          </rPr>
          <t xml:space="preserve">FF PAY refers to the amount earned for 26 hours a pay period (hours 41 to 53 a week).  On your LES, it is also referred to as "REGULAR PAY."
</t>
        </r>
      </text>
    </comment>
    <comment ref="C123" authorId="0" shapeId="0" xr:uid="{00000000-0006-0000-0700-000073000000}">
      <text>
        <r>
          <rPr>
            <b/>
            <sz val="8"/>
            <color indexed="81"/>
            <rFont val="Tahoma"/>
            <family val="2"/>
          </rPr>
          <t>FF RATE refers to the hourly pay actually received for those 26 hours.  It is the same as shift firefighters of equal grade and step receive.</t>
        </r>
      </text>
    </comment>
    <comment ref="C124" authorId="0" shapeId="0" xr:uid="{00000000-0006-0000-0700-000074000000}">
      <text>
        <r>
          <rPr>
            <b/>
            <sz val="8"/>
            <color indexed="81"/>
            <rFont val="Tahoma"/>
            <family val="2"/>
          </rPr>
          <t xml:space="preserve">OT PAY refers to overtime pay earned for all hours beyond 106.  On your LES, it is referred to as "OT IN TOUR."
</t>
        </r>
      </text>
    </comment>
    <comment ref="C125" authorId="0" shapeId="0" xr:uid="{00000000-0006-0000-0700-000075000000}">
      <text>
        <r>
          <rPr>
            <b/>
            <sz val="8"/>
            <color indexed="81"/>
            <rFont val="Tahoma"/>
            <family val="2"/>
          </rPr>
          <t>OT RATE refers to 1 1/2 times the FF hourly rate.  It is less than GS overtime.</t>
        </r>
      </text>
    </comment>
    <comment ref="C126" authorId="0" shapeId="0" xr:uid="{00000000-0006-0000-0700-000076000000}">
      <text>
        <r>
          <rPr>
            <b/>
            <sz val="8"/>
            <color indexed="81"/>
            <rFont val="Tahoma"/>
            <family val="2"/>
          </rPr>
          <t xml:space="preserve">COLA refers to the Non-Foreign Cost of Living Allowance federal workers receive when employed outside the continental U.S.
</t>
        </r>
      </text>
    </comment>
    <comment ref="C127" authorId="0" shapeId="0" xr:uid="{00000000-0006-0000-0700-000077000000}">
      <text>
        <r>
          <rPr>
            <b/>
            <sz val="8"/>
            <color indexed="81"/>
            <rFont val="Tahoma"/>
            <family val="2"/>
          </rPr>
          <t>PAY PERIOD refers to the actual gross pay you should receive each pay period.  It is derived by adding GS, FF, and OT pay together plus COLA (if applicable).</t>
        </r>
      </text>
    </comment>
    <comment ref="C128" authorId="0" shapeId="0" xr:uid="{00000000-0006-0000-0700-000078000000}">
      <text>
        <r>
          <rPr>
            <b/>
            <sz val="8"/>
            <color indexed="81"/>
            <rFont val="Tahoma"/>
            <family val="2"/>
          </rPr>
          <t xml:space="preserve">ANNUAL PAY refers to the actual gross pay you should receive for 26 or 27 (if applicable) pay periods.  
</t>
        </r>
      </text>
    </comment>
    <comment ref="C129" authorId="0" shapeId="0" xr:uid="{00000000-0006-0000-0700-00007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C130" authorId="0" shapeId="0" xr:uid="{00000000-0006-0000-0700-00007A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131" authorId="0" shapeId="0" xr:uid="{00000000-0006-0000-0700-00007B000000}">
      <text>
        <r>
          <rPr>
            <b/>
            <sz val="8"/>
            <color indexed="81"/>
            <rFont val="Tahoma"/>
            <family val="2"/>
          </rPr>
          <t xml:space="preserve">GS PAY refers to amount earned for the regular 80 hours a pay period (40 a week).  On your LES, it is referred to as "REGULAR PAY."
</t>
        </r>
      </text>
    </comment>
    <comment ref="C132" authorId="0" shapeId="0" xr:uid="{00000000-0006-0000-0700-00007C000000}">
      <text>
        <r>
          <rPr>
            <b/>
            <sz val="8"/>
            <color indexed="81"/>
            <rFont val="Tahoma"/>
            <family val="2"/>
          </rPr>
          <t xml:space="preserve">GS RATE refers to the hourly pay actually received for those 80 hours.  It is the normal GS rate.
</t>
        </r>
      </text>
    </comment>
    <comment ref="C133" authorId="0" shapeId="0" xr:uid="{00000000-0006-0000-0700-00007D000000}">
      <text>
        <r>
          <rPr>
            <b/>
            <sz val="8"/>
            <color indexed="81"/>
            <rFont val="Tahoma"/>
            <family val="2"/>
          </rPr>
          <t xml:space="preserve">FF PAY refers to the amount earned for 26 hours a pay period (hours 41 to 53 a week).  On your LES, it is also referred to as "REGULAR PAY."
</t>
        </r>
      </text>
    </comment>
    <comment ref="C134" authorId="0" shapeId="0" xr:uid="{00000000-0006-0000-0700-00007E000000}">
      <text>
        <r>
          <rPr>
            <b/>
            <sz val="8"/>
            <color indexed="81"/>
            <rFont val="Tahoma"/>
            <family val="2"/>
          </rPr>
          <t>FF RATE refers to the hourly pay actually received for those 26 hours.  It is the same as shift firefighters of equal grade and step receive.</t>
        </r>
      </text>
    </comment>
    <comment ref="C135" authorId="0" shapeId="0" xr:uid="{00000000-0006-0000-0700-00007F000000}">
      <text>
        <r>
          <rPr>
            <b/>
            <sz val="8"/>
            <color indexed="81"/>
            <rFont val="Tahoma"/>
            <family val="2"/>
          </rPr>
          <t xml:space="preserve">OT PAY refers to overtime pay earned for all hours beyond 106.  On your LES, it is referred to as "OT IN TOUR."
</t>
        </r>
      </text>
    </comment>
    <comment ref="C136" authorId="0" shapeId="0" xr:uid="{00000000-0006-0000-0700-000080000000}">
      <text>
        <r>
          <rPr>
            <b/>
            <sz val="8"/>
            <color indexed="81"/>
            <rFont val="Tahoma"/>
            <family val="2"/>
          </rPr>
          <t>OT RATE refers to 1 1/2 times the FF hourly rate.  It is less than GS overtime.</t>
        </r>
      </text>
    </comment>
    <comment ref="C137" authorId="0" shapeId="0" xr:uid="{00000000-0006-0000-0700-000081000000}">
      <text>
        <r>
          <rPr>
            <b/>
            <sz val="8"/>
            <color indexed="81"/>
            <rFont val="Tahoma"/>
            <family val="2"/>
          </rPr>
          <t xml:space="preserve">COLA refers to the Non-Foreign Cost of Living Allowance federal workers receive when employed outside the continental U.S.
</t>
        </r>
      </text>
    </comment>
    <comment ref="C138" authorId="0" shapeId="0" xr:uid="{00000000-0006-0000-0700-000082000000}">
      <text>
        <r>
          <rPr>
            <b/>
            <sz val="8"/>
            <color indexed="81"/>
            <rFont val="Tahoma"/>
            <family val="2"/>
          </rPr>
          <t>PAY PERIOD refers to the actual gross pay you should receive each pay period.  It is derived by adding GS, FF, and OT pay together plus COLA (if applicable).</t>
        </r>
      </text>
    </comment>
    <comment ref="C139" authorId="0" shapeId="0" xr:uid="{00000000-0006-0000-0700-000083000000}">
      <text>
        <r>
          <rPr>
            <b/>
            <sz val="8"/>
            <color indexed="81"/>
            <rFont val="Tahoma"/>
            <family val="2"/>
          </rPr>
          <t xml:space="preserve">ANNUAL PAY refers to the actual gross pay you should receive for 26 or 27 (if applicable) pay periods.  
</t>
        </r>
      </text>
    </comment>
    <comment ref="C140" authorId="0" shapeId="0" xr:uid="{00000000-0006-0000-0700-000084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<sst xmlns="http://schemas.openxmlformats.org/spreadsheetml/2006/main" count="542" uniqueCount="175">
  <si>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</si>
  <si>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</si>
  <si>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</si>
  <si>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</si>
  <si>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</si>
  <si>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</si>
  <si>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</si>
  <si>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</si>
  <si>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</si>
  <si>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</si>
  <si>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</si>
  <si>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</si>
  <si>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</si>
  <si>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</si>
  <si>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</si>
  <si>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</si>
  <si>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</si>
  <si>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</si>
  <si>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</si>
  <si>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</si>
  <si>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</si>
  <si>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</si>
  <si>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</si>
  <si>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</si>
  <si>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</si>
  <si>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</si>
  <si>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</si>
  <si>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</si>
  <si>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</si>
  <si>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</si>
  <si>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</si>
  <si>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</si>
  <si>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</si>
  <si>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</si>
  <si>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</si>
  <si>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</si>
  <si>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</si>
  <si>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</si>
  <si>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</si>
  <si>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</si>
  <si>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</si>
  <si>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</si>
  <si>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</si>
  <si>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</si>
  <si>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</si>
  <si>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</si>
  <si>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</si>
  <si>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</si>
  <si>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</si>
  <si>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</si>
  <si>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</si>
  <si>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</si>
  <si>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</si>
  <si>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</si>
  <si>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</si>
  <si>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</si>
  <si>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</si>
  <si>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</si>
  <si>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</si>
  <si>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</si>
  <si>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</si>
  <si>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</si>
  <si>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</si>
  <si>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Atlanta-Sandy Springs-Gainesville, GA-AL</t>
  </si>
  <si>
    <t>Boston-Worcester-Manchester, MA-NH-ME-RI</t>
  </si>
  <si>
    <t>Buffalo-Niagara-Cattaraugus, NY</t>
  </si>
  <si>
    <t>Chicago-Naperville-Michigan City, IL-IN-WI</t>
  </si>
  <si>
    <t>Cincinnati-Middletown-Wilmington, OH-KY-IN</t>
  </si>
  <si>
    <t>Cleveland-Akron-Elyria, OH</t>
  </si>
  <si>
    <t>Columbus-Marion-Chillicothe, OH</t>
  </si>
  <si>
    <t>Dallas-Fort Worth, TX</t>
  </si>
  <si>
    <t>Dayton-Springfield-Greenville, OH</t>
  </si>
  <si>
    <t>Denver-Aurora-Boulder, CO</t>
  </si>
  <si>
    <t>Detroit-Warren-Flint, MI</t>
  </si>
  <si>
    <t>Hartford-West Hartford-Willimantic, CT-MA</t>
  </si>
  <si>
    <t>Houston-Baytown-Huntsville, TX</t>
  </si>
  <si>
    <t>Huntsville-Decatur, AL</t>
  </si>
  <si>
    <t>Indianapolis-Anderson-Columbus, IN</t>
  </si>
  <si>
    <t>Los Angeles-Long Beach-Riverside, CA</t>
  </si>
  <si>
    <t>Miami-Fort Lauderdale-Miami Beach, FL</t>
  </si>
  <si>
    <t>Milwaukee-Racine-Waukesha, WI</t>
  </si>
  <si>
    <t>Minneapolis-St. Paul-St. Cloud, MN-WI</t>
  </si>
  <si>
    <t>New York-Newark-Bridgeport, NY-NJ-CT-PA</t>
  </si>
  <si>
    <t>Philadelphia-Camden-Vineland, PA-NJ-DE-MD</t>
  </si>
  <si>
    <t>Phoenix-Mesa-Scottsdale, AZ</t>
  </si>
  <si>
    <t>Pittsburgh-New Castle, PA</t>
  </si>
  <si>
    <t>Portland-Vancouver-Beaverton, OR-WA</t>
  </si>
  <si>
    <t>Raleigh-Durham-Cary, NC</t>
  </si>
  <si>
    <t>Richmond, VA</t>
  </si>
  <si>
    <t>Sacramento--Arden-Arcade--Truckee, CA-NV</t>
  </si>
  <si>
    <t>San Diego-Carlsbad-San Marcos, CA</t>
  </si>
  <si>
    <t>San Jose-San Francisco-Oakland, CA</t>
  </si>
  <si>
    <t>Seattle-Tacoma-Olympia, WA</t>
  </si>
  <si>
    <t>Washington-Baltimore-Northern Virginia, DC-MD-PA-VA-WV</t>
  </si>
  <si>
    <t>U.S. Virgin Islands</t>
  </si>
  <si>
    <t>Guam and Northern Mariana Islands</t>
  </si>
  <si>
    <t>Puerto Rico</t>
  </si>
  <si>
    <t>Set for Rest of US initially.  Change as needed.</t>
  </si>
  <si>
    <t>Locality Rate:</t>
  </si>
  <si>
    <t>Basic Pay (No Locality or COLA)</t>
  </si>
  <si>
    <t>Locality/COLA Area:</t>
  </si>
  <si>
    <t>Payperiods</t>
  </si>
  <si>
    <t>http://www.dodfire.com</t>
  </si>
  <si>
    <t>http://www.iaff16.org</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</si>
  <si>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</si>
  <si>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</si>
  <si>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</si>
  <si>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</si>
  <si>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</si>
  <si>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</si>
  <si>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</si>
  <si>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</si>
  <si>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N/A</t>
  </si>
  <si>
    <t>FEDERAL FIREFIGHTER PAY PROGRAM</t>
  </si>
  <si>
    <t>COLA</t>
  </si>
  <si>
    <t>Locality Rates</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</si>
  <si>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</si>
  <si>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</si>
  <si>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</si>
  <si>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</si>
  <si>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</si>
  <si>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</si>
  <si>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For information and comparison, here are all the Locality areas &amp; rates: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</si>
  <si>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</si>
  <si>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</si>
  <si>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</si>
  <si>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</si>
  <si>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</si>
  <si>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PAY PERIODS:</t>
    </r>
    <r>
      <rPr>
        <sz val="10"/>
        <rFont val="Arial"/>
        <family val="2"/>
      </rPr>
      <t xml:space="preserve">  Most years contain 26 pay periods, which this file was initially set-up for.  However, some years do contain 27 pay periods.  This will cause the annual totals to be a paycheck short.  To correct this, simply change the number of pay periods in the space below to 27.  Remember, you will need to change it back the following year.   </t>
    </r>
  </si>
  <si>
    <r>
      <t>ANNUAL GENERAL SCHEDULE INCREASES:</t>
    </r>
    <r>
      <rPr>
        <sz val="10"/>
        <rFont val="Arial"/>
        <family val="2"/>
      </rPr>
      <t xml:space="preserve">  When you enter a raise into the program, you will produce estimated salaries only.  The current year should be correct since the base numbers are directly from OPM's site; however, minor errors may develop in later years.  Every year I create a new program with updated salaries, which is posted at:</t>
    </r>
  </si>
  <si>
    <r>
      <t xml:space="preserve">Note: Raise's should reflect the General Increase only and not the locality increase.  </t>
    </r>
    <r>
      <rPr>
        <sz val="10"/>
        <rFont val="Arial"/>
        <family val="2"/>
      </rPr>
      <t xml:space="preserve">(Examples: 1999's General Increase was 3.1%, while the average total raise, including locality, was 3.6%.  In that case, the correct amount to enter was 3.1%.  2000's General Increase was 3.8%, and the average total raise was 4.8%.  The correct amount to enter: 3.8%.)  The locality increase will be included in the new locality percentage rate. </t>
    </r>
  </si>
  <si>
    <r>
      <t xml:space="preserve">Note: If there is no General Increase in a given year, enter N/A in the appropriate block.  </t>
    </r>
    <r>
      <rPr>
        <sz val="10"/>
        <rFont val="Arial"/>
        <family val="2"/>
      </rPr>
      <t>This will tell the file to change</t>
    </r>
    <r>
      <rPr>
        <b/>
        <sz val="10"/>
        <rFont val="Arial"/>
        <family val="2"/>
      </rPr>
      <t xml:space="preserve"> </t>
    </r>
    <r>
      <rPr>
        <sz val="10"/>
        <rFont val="Arial"/>
        <family val="2"/>
      </rPr>
      <t>over to the new year, even though there is no raise.  Again, locality increases do not apply here--only the general one (Example: 1994 was the first year we received a locality adjustment, but there was no general increase to go with it).</t>
    </r>
  </si>
  <si>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</si>
  <si>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COLA Rate</t>
  </si>
  <si>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</si>
  <si>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</si>
  <si>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</si>
  <si>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</si>
  <si>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</si>
  <si>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</si>
  <si>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r>
      <t>Changing Locality and/or COLA Rates: C</t>
    </r>
    <r>
      <rPr>
        <sz val="10"/>
        <rFont val="Arial"/>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</si>
  <si>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</si>
  <si>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</si>
  <si>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</si>
  <si>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</si>
  <si>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</si>
  <si>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</si>
  <si>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</si>
  <si>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</si>
  <si>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</si>
  <si>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</si>
  <si>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Post Allowance</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</si>
  <si>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</si>
  <si>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</si>
  <si>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</si>
  <si>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</si>
  <si>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</si>
  <si>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</si>
  <si>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</si>
  <si>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</si>
  <si>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</si>
  <si>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</si>
  <si>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</si>
  <si>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r>
      <t xml:space="preserve">Non-foreign Area Cost-of-Living Allowances:  </t>
    </r>
    <r>
      <rPr>
        <sz val="10"/>
        <color indexed="10"/>
        <rFont val="Arial"/>
        <family val="2"/>
      </rPr>
      <t>The Non-Foreign Area Retirement Equity Assurance Act of 2009 changes non-foreign areas such as Alaska, Hawaii, and the United States territories, e.g. Puerto Rico, Guam, U.S. Virgin Islands, etc. from COLA's to Locality Pay.  This is the final year of the phased transition.  Alaska &amp; Hawaii will receive their full Locality rate, and the territories will receive the "Rest of US" Locality rate.  The COLA will be  phased out as the Locality rate increases.  Please contact me if any errors are discovered.</t>
    </r>
  </si>
  <si>
    <r>
      <t xml:space="preserve">NSPS PAY RETENTION &amp; SPECIAL PAY RATES:  </t>
    </r>
    <r>
      <rPr>
        <sz val="10"/>
        <color indexed="10"/>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</si>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</sst>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52" x14ac:knownFonts="1">
    <font>
      <sz val="10"/>
      <name val="Arial"/>
    </font>
    <font>
      <sz val="10"/>
      <name val="Arial"/>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ont>
    <font>
      <b/>
      <u/>
      <sz val="24"/>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u/>
      <sz val="10"/>
      <color indexed="13"/>
      <name val="Arial"/>
    </font>
    <font>
      <b/>
      <sz val="8"/>
      <color indexed="81"/>
      <name val="Tahoma"/>
    </font>
    <font>
      <b/>
      <u/>
      <sz val="20"/>
      <name val="Arial"/>
      <family val="2"/>
    </font>
    <font>
      <b/>
      <i/>
      <sz val="14"/>
      <color indexed="10"/>
      <name val="Arial"/>
      <family val="2"/>
    </font>
    <font>
      <b/>
      <sz val="9"/>
      <color indexed="81"/>
      <name val="Tahoma"/>
      <charset val="1"/>
    </font>
    <font>
      <u/>
      <sz val="11"/>
      <color rgb="FFFFFF00"/>
      <name val="Cambria"/>
      <family val="1"/>
      <scheme val="maj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alignment vertical="top"/>
      <protection locked="0"/>
    </xf>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4" fillId="23" borderId="7" applyNumberFormat="0" applyFont="0" applyAlignment="0" applyProtection="0"/>
    <xf numFmtId="0" fontId="40" fillId="20"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8">
    <xf numFmtId="0" fontId="0" fillId="0" borderId="0" xfId="0"/>
    <xf numFmtId="0" fontId="4" fillId="0" borderId="0" xfId="0" applyFont="1" applyBorder="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4" fillId="0" borderId="0" xfId="0" applyFont="1" applyFill="1" applyAlignment="1">
      <alignment horizontal="center"/>
    </xf>
    <xf numFmtId="0" fontId="14" fillId="0" borderId="0" xfId="0" applyFont="1" applyFill="1"/>
    <xf numFmtId="0" fontId="15" fillId="0" borderId="0" xfId="0" applyFont="1" applyFill="1" applyAlignment="1">
      <alignment horizontal="left"/>
    </xf>
    <xf numFmtId="0" fontId="2" fillId="0" borderId="0" xfId="0" applyFont="1" applyFill="1"/>
    <xf numFmtId="0" fontId="2" fillId="0" borderId="10" xfId="0" applyFont="1" applyFill="1" applyBorder="1" applyAlignment="1">
      <alignment horizontal="center"/>
    </xf>
    <xf numFmtId="0" fontId="2" fillId="0" borderId="13" xfId="0" applyFont="1" applyFill="1" applyBorder="1" applyAlignment="1">
      <alignment horizontal="center"/>
    </xf>
    <xf numFmtId="0" fontId="0" fillId="0" borderId="14" xfId="0" applyFill="1" applyBorder="1"/>
    <xf numFmtId="44" fontId="5" fillId="0" borderId="14" xfId="28" applyFont="1" applyFill="1" applyBorder="1" applyAlignment="1">
      <alignment horizontal="center"/>
    </xf>
    <xf numFmtId="0" fontId="0" fillId="0" borderId="13" xfId="0" applyFill="1" applyBorder="1"/>
    <xf numFmtId="44" fontId="5" fillId="0" borderId="13" xfId="28" applyNumberFormat="1" applyFont="1" applyFill="1" applyBorder="1" applyAlignment="1">
      <alignment horizontal="right"/>
    </xf>
    <xf numFmtId="0" fontId="0" fillId="0" borderId="15" xfId="0" applyFill="1" applyBorder="1"/>
    <xf numFmtId="0" fontId="2" fillId="0" borderId="15" xfId="0" applyFont="1" applyFill="1" applyBorder="1" applyAlignment="1">
      <alignment horizontal="center"/>
    </xf>
    <xf numFmtId="0" fontId="2" fillId="0" borderId="13" xfId="0" applyFont="1" applyFill="1" applyBorder="1"/>
    <xf numFmtId="44" fontId="6" fillId="0" borderId="13" xfId="28" applyNumberFormat="1" applyFont="1" applyFill="1" applyBorder="1" applyAlignment="1">
      <alignment horizontal="right"/>
    </xf>
    <xf numFmtId="0" fontId="8" fillId="0" borderId="16" xfId="0" applyFont="1" applyFill="1" applyBorder="1" applyAlignment="1">
      <alignment horizontal="right"/>
    </xf>
    <xf numFmtId="0" fontId="8" fillId="0" borderId="16" xfId="0" applyFont="1" applyFill="1" applyBorder="1"/>
    <xf numFmtId="44" fontId="7" fillId="0" borderId="16" xfId="28" applyNumberFormat="1" applyFont="1" applyFill="1" applyBorder="1" applyAlignment="1">
      <alignment horizontal="right"/>
    </xf>
    <xf numFmtId="0" fontId="9" fillId="0" borderId="0" xfId="0" applyFont="1" applyFill="1"/>
    <xf numFmtId="0" fontId="2" fillId="0" borderId="14"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28" applyNumberFormat="1" applyFont="1" applyFill="1" applyBorder="1" applyAlignment="1">
      <alignment horizontal="left"/>
    </xf>
    <xf numFmtId="0" fontId="4" fillId="0" borderId="0" xfId="0" applyFont="1" applyFill="1" applyBorder="1"/>
    <xf numFmtId="0" fontId="4" fillId="0" borderId="13" xfId="0" applyFont="1" applyFill="1" applyBorder="1"/>
    <xf numFmtId="44" fontId="4" fillId="0" borderId="13" xfId="28" applyFont="1" applyFill="1" applyBorder="1" applyAlignment="1">
      <alignment horizontal="right"/>
    </xf>
    <xf numFmtId="44" fontId="2" fillId="0" borderId="13" xfId="28" applyFont="1" applyFill="1" applyBorder="1" applyAlignment="1">
      <alignment horizontal="right"/>
    </xf>
    <xf numFmtId="44" fontId="8" fillId="0" borderId="16" xfId="28" applyFont="1" applyFill="1" applyBorder="1" applyAlignment="1">
      <alignment horizontal="right"/>
    </xf>
    <xf numFmtId="0" fontId="9" fillId="0" borderId="0" xfId="0" applyFont="1" applyFill="1" applyBorder="1"/>
    <xf numFmtId="0" fontId="4" fillId="0" borderId="15" xfId="0" applyFont="1" applyFill="1" applyBorder="1"/>
    <xf numFmtId="0" fontId="8" fillId="0" borderId="0" xfId="0" applyFont="1" applyFill="1" applyBorder="1"/>
    <xf numFmtId="0" fontId="2" fillId="0" borderId="0" xfId="0" applyFont="1" applyFill="1" applyBorder="1" applyAlignment="1">
      <alignment horizontal="right"/>
    </xf>
    <xf numFmtId="10" fontId="4" fillId="0" borderId="0" xfId="41" applyNumberFormat="1" applyFont="1" applyFill="1" applyBorder="1" applyAlignment="1">
      <alignment horizontal="center"/>
    </xf>
    <xf numFmtId="0" fontId="10" fillId="0" borderId="10" xfId="0" applyFont="1" applyFill="1" applyBorder="1" applyAlignment="1">
      <alignment wrapText="1"/>
    </xf>
    <xf numFmtId="0" fontId="9" fillId="0" borderId="10" xfId="0" applyFont="1" applyFill="1" applyBorder="1" applyAlignment="1">
      <alignment horizontal="right" wrapText="1"/>
    </xf>
    <xf numFmtId="0" fontId="9"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xf>
    <xf numFmtId="0" fontId="16"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41" applyNumberFormat="1" applyFont="1" applyFill="1" applyBorder="1" applyAlignment="1" applyProtection="1">
      <alignment horizontal="left"/>
    </xf>
    <xf numFmtId="0" fontId="13"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0" xfId="0" applyFont="1" applyFill="1" applyBorder="1" applyAlignment="1" applyProtection="1">
      <alignment horizontal="center"/>
    </xf>
    <xf numFmtId="0" fontId="0" fillId="0" borderId="10" xfId="0"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13" fillId="24" borderId="0" xfId="0" applyNumberFormat="1" applyFont="1" applyFill="1" applyAlignment="1" applyProtection="1">
      <alignment horizontal="center"/>
      <protection locked="0"/>
    </xf>
    <xf numFmtId="0" fontId="13" fillId="24" borderId="0" xfId="0" applyFont="1" applyFill="1" applyBorder="1" applyAlignment="1" applyProtection="1">
      <alignment horizontal="center"/>
      <protection locked="0"/>
    </xf>
    <xf numFmtId="44" fontId="4" fillId="0" borderId="10" xfId="28" applyFont="1" applyFill="1" applyBorder="1" applyAlignment="1">
      <alignment horizontal="center"/>
    </xf>
    <xf numFmtId="0" fontId="4" fillId="0" borderId="13" xfId="0" applyFont="1" applyFill="1" applyBorder="1" applyAlignment="1">
      <alignment horizontal="center"/>
    </xf>
    <xf numFmtId="0" fontId="4" fillId="0" borderId="0" xfId="0" applyFont="1" applyFill="1"/>
    <xf numFmtId="0" fontId="4" fillId="0" borderId="17" xfId="0" applyFont="1" applyBorder="1" applyAlignment="1">
      <alignment horizontal="center" wrapText="1"/>
    </xf>
    <xf numFmtId="0" fontId="4" fillId="0" borderId="0" xfId="0" applyFont="1" applyBorder="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18" fillId="24" borderId="10" xfId="0" applyFont="1" applyFill="1" applyBorder="1" applyAlignment="1">
      <alignment horizontal="center" wrapText="1"/>
    </xf>
    <xf numFmtId="3" fontId="18"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8" fillId="0" borderId="10" xfId="0" applyFont="1" applyBorder="1" applyAlignment="1">
      <alignment horizontal="center" wrapText="1"/>
    </xf>
    <xf numFmtId="3" fontId="18" fillId="0" borderId="10" xfId="0" applyNumberFormat="1" applyFont="1" applyBorder="1" applyAlignment="1">
      <alignment horizontal="center" wrapText="1"/>
    </xf>
    <xf numFmtId="0" fontId="18" fillId="24" borderId="14" xfId="0" applyFont="1" applyFill="1" applyBorder="1" applyAlignment="1">
      <alignment horizontal="center" wrapText="1"/>
    </xf>
    <xf numFmtId="0" fontId="18" fillId="24" borderId="17" xfId="0" applyFont="1" applyFill="1" applyBorder="1" applyAlignment="1">
      <alignment horizontal="center" wrapText="1"/>
    </xf>
    <xf numFmtId="3" fontId="18" fillId="24" borderId="18" xfId="0" applyNumberFormat="1" applyFont="1" applyFill="1" applyBorder="1" applyAlignment="1">
      <alignment horizontal="center" wrapText="1"/>
    </xf>
    <xf numFmtId="3" fontId="18" fillId="24" borderId="19" xfId="0" applyNumberFormat="1" applyFont="1" applyFill="1" applyBorder="1" applyAlignment="1">
      <alignment horizontal="center" wrapText="1"/>
    </xf>
    <xf numFmtId="1" fontId="18"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8" fillId="0" borderId="10" xfId="0" applyNumberFormat="1" applyFont="1" applyBorder="1" applyAlignment="1">
      <alignment horizontal="center" wrapText="1"/>
    </xf>
    <xf numFmtId="0" fontId="2" fillId="0" borderId="0" xfId="0" applyFont="1" applyBorder="1" applyAlignment="1">
      <alignment horizontal="left"/>
    </xf>
    <xf numFmtId="3" fontId="0" fillId="0" borderId="10" xfId="0" applyNumberFormat="1" applyBorder="1" applyAlignment="1">
      <alignment horizontal="center" wrapText="1"/>
    </xf>
    <xf numFmtId="3" fontId="0" fillId="0" borderId="10" xfId="0" applyNumberFormat="1" applyBorder="1" applyAlignment="1">
      <alignment horizontal="center"/>
    </xf>
    <xf numFmtId="10" fontId="2" fillId="0" borderId="0" xfId="41" applyNumberFormat="1" applyFont="1" applyFill="1" applyBorder="1" applyAlignment="1">
      <alignment horizontal="left"/>
    </xf>
    <xf numFmtId="0" fontId="15" fillId="0" borderId="0" xfId="0" applyFont="1" applyFill="1" applyAlignment="1">
      <alignment horizontal="right"/>
    </xf>
    <xf numFmtId="0" fontId="0" fillId="0" borderId="20" xfId="0" applyBorder="1" applyAlignment="1">
      <alignment horizontal="left" vertical="center" wrapText="1"/>
    </xf>
    <xf numFmtId="10" fontId="0" fillId="0" borderId="20" xfId="0" applyNumberFormat="1" applyBorder="1" applyAlignment="1">
      <alignment horizontal="center" wrapText="1"/>
    </xf>
    <xf numFmtId="10" fontId="0" fillId="0" borderId="20" xfId="0" applyNumberFormat="1" applyBorder="1" applyAlignment="1">
      <alignment horizontal="center" vertical="top" wrapText="1"/>
    </xf>
    <xf numFmtId="0" fontId="13" fillId="0" borderId="0" xfId="0" applyFont="1" applyFill="1" applyBorder="1" applyAlignment="1" applyProtection="1">
      <alignment horizontal="left"/>
    </xf>
    <xf numFmtId="10" fontId="13"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left"/>
    </xf>
    <xf numFmtId="0" fontId="0" fillId="0" borderId="21" xfId="0" applyBorder="1" applyAlignment="1"/>
    <xf numFmtId="0" fontId="13" fillId="0" borderId="0" xfId="0" applyNumberFormat="1" applyFont="1" applyFill="1" applyAlignment="1" applyProtection="1">
      <alignment horizontal="center"/>
    </xf>
    <xf numFmtId="0" fontId="20" fillId="0" borderId="0" xfId="0" applyFont="1" applyFill="1"/>
    <xf numFmtId="0" fontId="20" fillId="0" borderId="0" xfId="0" applyFont="1" applyFill="1" applyProtection="1"/>
    <xf numFmtId="2" fontId="0" fillId="24" borderId="10" xfId="0" applyNumberFormat="1" applyFill="1" applyBorder="1" applyAlignment="1" applyProtection="1">
      <alignment horizontal="center"/>
    </xf>
    <xf numFmtId="0" fontId="11" fillId="0" borderId="0" xfId="35" applyFill="1" applyAlignment="1" applyProtection="1"/>
    <xf numFmtId="0" fontId="22" fillId="0" borderId="0" xfId="35" applyFont="1" applyFill="1" applyAlignment="1" applyProtection="1"/>
    <xf numFmtId="0" fontId="0" fillId="0" borderId="0" xfId="0" applyFill="1" applyAlignment="1" applyProtection="1">
      <alignment wrapText="1"/>
    </xf>
    <xf numFmtId="0" fontId="2"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10" fontId="13" fillId="0" borderId="0" xfId="0" applyNumberFormat="1" applyFont="1" applyAlignment="1">
      <alignment horizontal="center"/>
    </xf>
    <xf numFmtId="10" fontId="13" fillId="0" borderId="0" xfId="0" applyNumberFormat="1" applyFont="1" applyFill="1" applyBorder="1" applyAlignment="1" applyProtection="1">
      <alignment horizontal="left"/>
    </xf>
    <xf numFmtId="10" fontId="13" fillId="0" borderId="0" xfId="0" applyNumberFormat="1" applyFont="1" applyAlignment="1">
      <alignment horizontal="left"/>
    </xf>
    <xf numFmtId="0" fontId="13" fillId="0" borderId="0" xfId="0" applyFont="1" applyAlignment="1"/>
    <xf numFmtId="2" fontId="2" fillId="0" borderId="0" xfId="0" applyNumberFormat="1" applyFont="1" applyFill="1" applyAlignment="1" applyProtection="1">
      <alignment horizontal="center"/>
    </xf>
    <xf numFmtId="0" fontId="2" fillId="0" borderId="0" xfId="0" applyFont="1" applyFill="1" applyAlignment="1" applyProtection="1"/>
    <xf numFmtId="0" fontId="0" fillId="0" borderId="0" xfId="0" applyFill="1" applyAlignment="1" applyProtection="1"/>
    <xf numFmtId="10" fontId="13" fillId="25" borderId="0" xfId="0" applyNumberFormat="1" applyFont="1" applyFill="1" applyBorder="1" applyAlignment="1" applyProtection="1">
      <alignment horizontal="center"/>
      <protection locked="0"/>
    </xf>
    <xf numFmtId="10" fontId="13"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11" fillId="0" borderId="0" xfId="35" applyAlignment="1" applyProtection="1"/>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center"/>
    </xf>
    <xf numFmtId="0" fontId="0" fillId="0" borderId="0" xfId="0" applyBorder="1" applyAlignment="1"/>
    <xf numFmtId="44" fontId="0" fillId="0" borderId="14" xfId="28" applyFont="1" applyFill="1" applyBorder="1" applyAlignment="1">
      <alignment horizontal="right"/>
    </xf>
    <xf numFmtId="44" fontId="0" fillId="0" borderId="13" xfId="28" applyFont="1" applyFill="1" applyBorder="1" applyAlignment="1">
      <alignment horizontal="right"/>
    </xf>
    <xf numFmtId="0" fontId="13" fillId="0" borderId="0" xfId="0" applyFont="1" applyAlignment="1">
      <alignment horizontal="center"/>
    </xf>
    <xf numFmtId="44" fontId="7" fillId="0" borderId="11" xfId="28" applyNumberFormat="1" applyFont="1" applyFill="1" applyBorder="1" applyAlignment="1">
      <alignment horizontal="right"/>
    </xf>
    <xf numFmtId="44" fontId="8" fillId="0" borderId="11" xfId="28" applyFont="1" applyFill="1" applyBorder="1" applyAlignment="1">
      <alignment horizontal="right"/>
    </xf>
    <xf numFmtId="0" fontId="0" fillId="0" borderId="0" xfId="0" applyAlignment="1">
      <alignment wrapText="1"/>
    </xf>
    <xf numFmtId="0" fontId="2" fillId="0" borderId="0" xfId="0" applyFont="1" applyFill="1" applyAlignment="1" applyProtection="1">
      <alignment wrapText="1"/>
    </xf>
    <xf numFmtId="0" fontId="2" fillId="0" borderId="0" xfId="0" applyFont="1" applyAlignment="1">
      <alignment wrapText="1"/>
    </xf>
    <xf numFmtId="0" fontId="11" fillId="0" borderId="0" xfId="35" applyFill="1" applyBorder="1" applyAlignment="1" applyProtection="1">
      <alignment horizontal="center"/>
    </xf>
    <xf numFmtId="0" fontId="48" fillId="0" borderId="0" xfId="0" applyFont="1" applyFill="1" applyAlignment="1" applyProtection="1">
      <alignment horizontal="center"/>
    </xf>
    <xf numFmtId="0" fontId="2" fillId="0" borderId="0" xfId="0" applyFont="1" applyFill="1" applyBorder="1" applyAlignment="1" applyProtection="1">
      <alignment horizontal="center"/>
    </xf>
    <xf numFmtId="0" fontId="16" fillId="0" borderId="0" xfId="0" applyFont="1" applyFill="1" applyBorder="1" applyAlignment="1" applyProtection="1">
      <alignment horizontal="center"/>
    </xf>
    <xf numFmtId="164" fontId="4" fillId="24" borderId="0" xfId="0" applyNumberFormat="1" applyFont="1" applyFill="1" applyAlignment="1" applyProtection="1">
      <alignment horizontal="center"/>
      <protection locked="0"/>
    </xf>
    <xf numFmtId="0" fontId="4" fillId="0" borderId="0" xfId="0" applyFont="1" applyFill="1" applyBorder="1" applyProtection="1"/>
    <xf numFmtId="0" fontId="11" fillId="0" borderId="0" xfId="35" applyFill="1" applyBorder="1" applyAlignment="1" applyProtection="1"/>
    <xf numFmtId="0" fontId="8" fillId="0" borderId="0" xfId="0" applyFont="1" applyFill="1" applyBorder="1" applyProtection="1"/>
    <xf numFmtId="10" fontId="4" fillId="0" borderId="0" xfId="41"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3" xfId="0" applyFont="1" applyFill="1" applyBorder="1" applyAlignment="1" applyProtection="1">
      <alignment horizontal="center"/>
    </xf>
    <xf numFmtId="0" fontId="0" fillId="0" borderId="22" xfId="0" applyFill="1" applyBorder="1" applyProtection="1"/>
    <xf numFmtId="44" fontId="4" fillId="0" borderId="14" xfId="28" applyFont="1" applyFill="1" applyBorder="1" applyAlignment="1" applyProtection="1">
      <alignment horizontal="center"/>
    </xf>
    <xf numFmtId="0" fontId="0" fillId="0" borderId="13" xfId="0" applyFill="1" applyBorder="1" applyProtection="1"/>
    <xf numFmtId="0" fontId="0" fillId="0" borderId="15" xfId="0" applyFill="1" applyBorder="1" applyProtection="1"/>
    <xf numFmtId="44" fontId="5" fillId="0" borderId="13" xfId="28" applyNumberFormat="1" applyFont="1" applyFill="1" applyBorder="1" applyAlignment="1" applyProtection="1">
      <alignment horizontal="right"/>
    </xf>
    <xf numFmtId="0" fontId="4" fillId="0" borderId="13" xfId="0" applyFont="1" applyFill="1" applyBorder="1" applyProtection="1"/>
    <xf numFmtId="44" fontId="0" fillId="0" borderId="13" xfId="28" applyFont="1" applyFill="1" applyBorder="1" applyAlignment="1" applyProtection="1">
      <alignment horizontal="right"/>
    </xf>
    <xf numFmtId="44" fontId="4" fillId="0" borderId="13" xfId="28" applyFont="1" applyFill="1" applyBorder="1" applyAlignment="1" applyProtection="1">
      <alignment horizontal="right"/>
    </xf>
    <xf numFmtId="0" fontId="2" fillId="0" borderId="15"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Protection="1"/>
    <xf numFmtId="0" fontId="2" fillId="0" borderId="15" xfId="0" applyFont="1" applyFill="1" applyBorder="1" applyProtection="1"/>
    <xf numFmtId="44" fontId="6" fillId="0" borderId="13" xfId="28" applyNumberFormat="1" applyFont="1" applyFill="1" applyBorder="1" applyAlignment="1" applyProtection="1">
      <alignment horizontal="right"/>
    </xf>
    <xf numFmtId="0" fontId="8" fillId="0" borderId="16" xfId="0" applyFont="1" applyFill="1" applyBorder="1" applyAlignment="1" applyProtection="1">
      <alignment horizontal="right"/>
    </xf>
    <xf numFmtId="0" fontId="8" fillId="0" borderId="16" xfId="0" applyFont="1" applyFill="1" applyBorder="1" applyProtection="1"/>
    <xf numFmtId="44" fontId="7" fillId="0" borderId="11" xfId="28" applyNumberFormat="1" applyFont="1" applyFill="1" applyBorder="1" applyAlignment="1" applyProtection="1">
      <alignment horizontal="right"/>
    </xf>
    <xf numFmtId="0" fontId="2" fillId="0" borderId="13" xfId="0" applyFont="1" applyFill="1" applyBorder="1" applyProtection="1"/>
    <xf numFmtId="44" fontId="8" fillId="0" borderId="11" xfId="28" applyFont="1" applyFill="1" applyBorder="1" applyAlignment="1" applyProtection="1">
      <alignment horizontal="right"/>
    </xf>
    <xf numFmtId="0" fontId="23" fillId="0" borderId="0" xfId="0" applyFont="1" applyFill="1" applyProtection="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0" fontId="0" fillId="0" borderId="24" xfId="0" applyNumberFormat="1" applyBorder="1" applyAlignment="1">
      <alignment horizontal="center" vertical="top" wrapText="1"/>
    </xf>
    <xf numFmtId="0" fontId="2" fillId="0" borderId="10" xfId="0" applyFont="1" applyBorder="1" applyAlignment="1">
      <alignment horizontal="center"/>
    </xf>
    <xf numFmtId="0" fontId="2" fillId="0" borderId="0" xfId="0" applyFont="1" applyFill="1" applyAlignment="1" applyProtection="1">
      <alignment horizontal="left" wrapText="1"/>
    </xf>
    <xf numFmtId="0" fontId="0" fillId="0" borderId="0" xfId="0" applyAlignment="1">
      <alignment wrapText="1"/>
    </xf>
    <xf numFmtId="0" fontId="13" fillId="24" borderId="0" xfId="0" applyFont="1" applyFill="1" applyBorder="1" applyAlignment="1" applyProtection="1">
      <alignment horizontal="left"/>
      <protection locked="0"/>
    </xf>
    <xf numFmtId="0" fontId="0" fillId="0" borderId="0" xfId="0" applyAlignment="1"/>
    <xf numFmtId="0" fontId="2" fillId="0" borderId="0" xfId="0" applyFont="1" applyFill="1" applyAlignment="1" applyProtection="1">
      <alignment horizontal="left"/>
    </xf>
    <xf numFmtId="0" fontId="16" fillId="0" borderId="0" xfId="0" applyFont="1" applyFill="1" applyAlignment="1" applyProtection="1">
      <alignment horizontal="center" wrapText="1"/>
    </xf>
    <xf numFmtId="0" fontId="2" fillId="0" borderId="0" xfId="0" applyFont="1" applyFill="1" applyAlignment="1" applyProtection="1">
      <alignment wrapText="1"/>
    </xf>
    <xf numFmtId="0" fontId="2" fillId="0" borderId="0" xfId="0" applyFont="1" applyAlignment="1">
      <alignment wrapText="1"/>
    </xf>
    <xf numFmtId="0" fontId="12" fillId="0" borderId="0" xfId="0" applyFont="1" applyFill="1" applyAlignment="1" applyProtection="1">
      <alignment horizontal="center"/>
    </xf>
    <xf numFmtId="0" fontId="13" fillId="0" borderId="0" xfId="0" applyFont="1" applyAlignment="1">
      <alignment horizontal="center"/>
    </xf>
    <xf numFmtId="0" fontId="11" fillId="0" borderId="0" xfId="35" applyFill="1" applyAlignment="1" applyProtection="1">
      <alignment horizontal="center"/>
    </xf>
    <xf numFmtId="0" fontId="11" fillId="0" borderId="0" xfId="35" applyAlignment="1" applyProtection="1"/>
    <xf numFmtId="0" fontId="45" fillId="26" borderId="0" xfId="35" applyFont="1" applyFill="1" applyAlignment="1" applyProtection="1">
      <alignment horizontal="center"/>
    </xf>
    <xf numFmtId="0" fontId="0" fillId="0" borderId="0" xfId="0" applyFill="1" applyAlignment="1" applyProtection="1">
      <alignment wrapText="1"/>
    </xf>
    <xf numFmtId="0" fontId="20" fillId="0" borderId="0" xfId="0" applyFont="1" applyFill="1" applyAlignment="1" applyProtection="1">
      <alignment horizontal="left" wrapText="1"/>
    </xf>
    <xf numFmtId="0" fontId="23" fillId="0" borderId="0" xfId="0" applyFont="1" applyFill="1" applyAlignment="1" applyProtection="1">
      <alignment wrapText="1"/>
    </xf>
    <xf numFmtId="0" fontId="11" fillId="0" borderId="0" xfId="35" quotePrefix="1" applyFill="1" applyAlignment="1" applyProtection="1">
      <alignment horizontal="center"/>
    </xf>
    <xf numFmtId="0" fontId="51" fillId="26" borderId="0" xfId="35" applyFont="1" applyFill="1" applyAlignment="1" applyProtection="1">
      <alignment horizontal="center"/>
    </xf>
    <xf numFmtId="0" fontId="20" fillId="0" borderId="0" xfId="0" applyFont="1" applyFill="1" applyAlignment="1" applyProtection="1">
      <alignment wrapText="1"/>
    </xf>
    <xf numFmtId="0" fontId="23" fillId="0" borderId="0" xfId="0" applyFont="1" applyAlignment="1">
      <alignment wrapText="1"/>
    </xf>
    <xf numFmtId="0" fontId="4" fillId="0" borderId="0" xfId="0" applyFont="1" applyFill="1" applyAlignment="1" applyProtection="1"/>
    <xf numFmtId="0" fontId="4" fillId="0" borderId="0" xfId="0" applyFont="1" applyFill="1" applyAlignment="1" applyProtection="1">
      <alignment horizontal="center"/>
    </xf>
    <xf numFmtId="0" fontId="0" fillId="0" borderId="0" xfId="0" applyAlignment="1">
      <alignment horizontal="center"/>
    </xf>
    <xf numFmtId="0" fontId="2" fillId="0" borderId="0" xfId="0" applyFont="1" applyAlignment="1">
      <alignment horizontal="left" wrapText="1"/>
    </xf>
    <xf numFmtId="0" fontId="18" fillId="0" borderId="0" xfId="0" applyFont="1" applyFill="1" applyAlignment="1" applyProtection="1">
      <alignment horizontal="left" wrapText="1"/>
    </xf>
    <xf numFmtId="0" fontId="2" fillId="0" borderId="0" xfId="0" applyFont="1" applyFill="1" applyBorder="1" applyAlignment="1" applyProtection="1">
      <alignment horizontal="left" wrapText="1"/>
    </xf>
    <xf numFmtId="0" fontId="2" fillId="0" borderId="0" xfId="0" applyFont="1" applyFill="1" applyAlignment="1">
      <alignment horizontal="left" wrapText="1"/>
    </xf>
    <xf numFmtId="0" fontId="4" fillId="0" borderId="15"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8" fillId="0" borderId="0" xfId="0" applyFont="1" applyFill="1" applyAlignment="1" applyProtection="1">
      <alignment horizontal="center"/>
    </xf>
    <xf numFmtId="0" fontId="2"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49" fillId="0" borderId="0" xfId="0" applyFont="1" applyFill="1" applyBorder="1" applyAlignment="1" applyProtection="1">
      <alignment horizontal="center"/>
    </xf>
    <xf numFmtId="0" fontId="15" fillId="0" borderId="0" xfId="0" applyFont="1" applyFill="1" applyAlignment="1">
      <alignment horizontal="center"/>
    </xf>
    <xf numFmtId="0" fontId="11" fillId="0" borderId="0" xfId="35" applyFill="1" applyBorder="1" applyAlignment="1" applyProtection="1">
      <alignment horizontal="center"/>
    </xf>
    <xf numFmtId="0" fontId="4" fillId="0" borderId="0" xfId="0" applyNumberFormat="1" applyFont="1" applyFill="1" applyBorder="1" applyAlignment="1" applyProtection="1">
      <alignment horizontal="left" wrapText="1"/>
    </xf>
    <xf numFmtId="0" fontId="20" fillId="0" borderId="0" xfId="0" applyFont="1" applyFill="1" applyBorder="1" applyAlignment="1">
      <alignment horizontal="center"/>
    </xf>
    <xf numFmtId="0" fontId="11" fillId="0" borderId="21" xfId="35" applyFill="1" applyBorder="1" applyAlignment="1" applyProtection="1">
      <alignment horizontal="center"/>
    </xf>
    <xf numFmtId="9" fontId="4" fillId="0" borderId="10" xfId="41" applyFont="1" applyFill="1" applyBorder="1" applyAlignment="1">
      <alignment horizontal="center" wrapText="1"/>
    </xf>
    <xf numFmtId="9" fontId="4" fillId="0" borderId="10" xfId="41" applyFont="1" applyFill="1" applyBorder="1"/>
    <xf numFmtId="0" fontId="17" fillId="0" borderId="0" xfId="0" applyFont="1" applyFill="1" applyAlignment="1">
      <alignment horizontal="center"/>
    </xf>
    <xf numFmtId="0" fontId="44" fillId="0" borderId="0" xfId="35" applyFont="1" applyAlignment="1" applyProtection="1">
      <alignment horizontal="center"/>
    </xf>
    <xf numFmtId="0" fontId="46" fillId="0" borderId="0" xfId="35" applyFont="1"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5.jpeg"/><Relationship Id="rId1" Type="http://schemas.openxmlformats.org/officeDocument/2006/relationships/hyperlink" Target="#'Chief, Training, Inspectors'!G5"/><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219075</xdr:colOff>
      <xdr:row>0</xdr:row>
      <xdr:rowOff>57150</xdr:rowOff>
    </xdr:from>
    <xdr:to>
      <xdr:col>14</xdr:col>
      <xdr:colOff>381000</xdr:colOff>
      <xdr:row>18</xdr:row>
      <xdr:rowOff>66675</xdr:rowOff>
    </xdr:to>
    <xdr:pic>
      <xdr:nvPicPr>
        <xdr:cNvPr id="4159" name="Picture 3" descr="Article.jpg">
          <a:hlinkClick xmlns:r="http://schemas.openxmlformats.org/officeDocument/2006/relationships" r:id="rId1"/>
          <a:extLst>
            <a:ext uri="{FF2B5EF4-FFF2-40B4-BE49-F238E27FC236}">
              <a16:creationId xmlns:a16="http://schemas.microsoft.com/office/drawing/2014/main" id="{00000000-0008-0000-0800-00003F1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95875" y="57150"/>
          <a:ext cx="38195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0</xdr:row>
      <xdr:rowOff>57150</xdr:rowOff>
    </xdr:from>
    <xdr:to>
      <xdr:col>7</xdr:col>
      <xdr:colOff>438150</xdr:colOff>
      <xdr:row>18</xdr:row>
      <xdr:rowOff>66675</xdr:rowOff>
    </xdr:to>
    <xdr:pic>
      <xdr:nvPicPr>
        <xdr:cNvPr id="4160" name="Picture 4" descr="Training.jpg">
          <a:hlinkClick xmlns:r="http://schemas.openxmlformats.org/officeDocument/2006/relationships" r:id="rId3"/>
          <a:extLst>
            <a:ext uri="{FF2B5EF4-FFF2-40B4-BE49-F238E27FC236}">
              <a16:creationId xmlns:a16="http://schemas.microsoft.com/office/drawing/2014/main" id="{00000000-0008-0000-0800-0000401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0100" y="57150"/>
          <a:ext cx="3905250" cy="29241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iaff16.org/" TargetMode="External"/><Relationship Id="rId7" Type="http://schemas.openxmlformats.org/officeDocument/2006/relationships/printerSettings" Target="../printerSettings/printerSettings1.bin"/><Relationship Id="rId2" Type="http://schemas.openxmlformats.org/officeDocument/2006/relationships/hyperlink" Target="http://www.dodfire.com/" TargetMode="External"/><Relationship Id="rId1" Type="http://schemas.openxmlformats.org/officeDocument/2006/relationships/hyperlink" Target="mailto:anthony.fanchi@robins.af.mil" TargetMode="External"/><Relationship Id="rId6" Type="http://schemas.openxmlformats.org/officeDocument/2006/relationships/hyperlink" Target="http://www.chcoc.gov/Transmittals/TransmittalDetails.aspx?TransmittalID=3300" TargetMode="External"/><Relationship Id="rId5" Type="http://schemas.openxmlformats.org/officeDocument/2006/relationships/hyperlink" Target="http://www.opm.gov/oca/compmemo/2010/2011PAY_Attach2.pdf" TargetMode="External"/><Relationship Id="rId10" Type="http://schemas.openxmlformats.org/officeDocument/2006/relationships/comments" Target="../comments1.xml"/><Relationship Id="rId4" Type="http://schemas.openxmlformats.org/officeDocument/2006/relationships/hyperlink" Target="mailto:contact@wikkmo.com"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7"/>
  <sheetViews>
    <sheetView showGridLines="0" tabSelected="1" zoomScaleNormal="100" workbookViewId="0">
      <selection activeCell="C4" sqref="C4:K4"/>
    </sheetView>
  </sheetViews>
  <sheetFormatPr defaultRowHeight="12.75" x14ac:dyDescent="0.2"/>
  <cols>
    <col min="1" max="16384" width="9.140625" style="46"/>
  </cols>
  <sheetData>
    <row r="1" spans="1:13" ht="36.75" customHeight="1" x14ac:dyDescent="0.4">
      <c r="A1" s="170" t="s">
        <v>113</v>
      </c>
      <c r="B1" s="171"/>
      <c r="C1" s="171"/>
      <c r="D1" s="171"/>
      <c r="E1" s="171"/>
      <c r="F1" s="171"/>
      <c r="G1" s="171"/>
      <c r="H1" s="171"/>
      <c r="I1" s="171"/>
      <c r="J1" s="171"/>
      <c r="K1" s="171"/>
      <c r="L1" s="165"/>
      <c r="M1" s="165"/>
    </row>
    <row r="2" spans="1:13" x14ac:dyDescent="0.2">
      <c r="F2" s="172" t="s">
        <v>62</v>
      </c>
      <c r="G2" s="173"/>
      <c r="H2" s="173"/>
    </row>
    <row r="4" spans="1:13" s="47" customFormat="1" ht="22.5" x14ac:dyDescent="0.3">
      <c r="C4" s="174" t="s">
        <v>120</v>
      </c>
      <c r="D4" s="174"/>
      <c r="E4" s="174"/>
      <c r="F4" s="174"/>
      <c r="G4" s="174"/>
      <c r="H4" s="174"/>
      <c r="I4" s="174"/>
      <c r="J4" s="174"/>
      <c r="K4" s="174"/>
      <c r="L4" s="100"/>
    </row>
    <row r="6" spans="1:13" ht="51" customHeight="1" x14ac:dyDescent="0.2">
      <c r="A6" s="175" t="str">
        <f>"This program is currently set-up for the year "&amp;$C$58&amp;" and covers the "&amp;C31&amp;" locality / COLA area.  It is designed to easily convert to any other locality/COLA, and can be updated annually with estimated raises.  The file works with all firefighter schedules covered under the Pay Reform Act of 1998.  The current schedule is "&amp;C16&amp;" hours a week for those working 24 hour shifts and "&amp;C18&amp;" hours a week for firefighters with an embedded 40 hour workweek.  The number of pay periods is "&amp;C41&amp;"."</f>
        <v>This program is currently set-up for the year 2012 and covers the Rest of the United States locality / COLA area.  It is designed to easily convert to any other locality/COLA, and can be updated annually with estimated raises.  The file works with all firefighter schedules covered under the Pay Reform Act of 1998.  The current schedule is 72 hours a week for those working 24 hour shifts and 60 hours a week for firefighters with an embedded 40 hour workweek.  The number of pay periods is 26.</v>
      </c>
      <c r="B6" s="175"/>
      <c r="C6" s="175"/>
      <c r="D6" s="175"/>
      <c r="E6" s="175"/>
      <c r="F6" s="175"/>
      <c r="G6" s="175"/>
      <c r="H6" s="175"/>
      <c r="I6" s="175"/>
      <c r="J6" s="175"/>
      <c r="K6" s="175"/>
      <c r="L6" s="163"/>
      <c r="M6" s="163"/>
    </row>
    <row r="7" spans="1:13" ht="12.75" customHeight="1" x14ac:dyDescent="0.2">
      <c r="A7" s="101"/>
      <c r="B7" s="101"/>
      <c r="C7" s="101"/>
      <c r="D7" s="101"/>
      <c r="E7" s="101"/>
      <c r="F7" s="101"/>
      <c r="G7" s="101"/>
      <c r="H7" s="101"/>
      <c r="I7" s="101"/>
      <c r="J7" s="101"/>
      <c r="K7" s="101"/>
    </row>
    <row r="8" spans="1:13" ht="12.75" customHeight="1" x14ac:dyDescent="0.2">
      <c r="A8" s="168" t="s">
        <v>121</v>
      </c>
      <c r="B8" s="169"/>
      <c r="C8" s="169"/>
      <c r="D8" s="169"/>
      <c r="E8" s="169"/>
      <c r="F8" s="169"/>
      <c r="G8" s="169"/>
      <c r="H8" s="169"/>
      <c r="I8" s="169"/>
      <c r="J8" s="169"/>
      <c r="K8" s="169"/>
      <c r="L8" s="163"/>
      <c r="M8" s="163"/>
    </row>
    <row r="9" spans="1:13" ht="12.75" customHeight="1" x14ac:dyDescent="0.2">
      <c r="A9" s="126"/>
      <c r="B9" s="127"/>
      <c r="C9" s="127"/>
      <c r="D9" s="127"/>
      <c r="E9" s="127"/>
      <c r="F9" s="127"/>
      <c r="G9" s="127"/>
      <c r="H9" s="127"/>
      <c r="I9" s="127"/>
      <c r="J9" s="127"/>
      <c r="K9" s="127"/>
      <c r="L9" s="125"/>
      <c r="M9" s="125"/>
    </row>
    <row r="10" spans="1:13" s="157" customFormat="1" ht="38.25" customHeight="1" x14ac:dyDescent="0.2">
      <c r="A10" s="176" t="s">
        <v>164</v>
      </c>
      <c r="B10" s="176"/>
      <c r="C10" s="176"/>
      <c r="D10" s="176"/>
      <c r="E10" s="176"/>
      <c r="F10" s="176"/>
      <c r="G10" s="176"/>
      <c r="H10" s="176"/>
      <c r="I10" s="176"/>
      <c r="J10" s="176"/>
      <c r="K10" s="176"/>
      <c r="L10" s="177"/>
      <c r="M10" s="177"/>
    </row>
    <row r="12" spans="1:13" ht="14.25" x14ac:dyDescent="0.2">
      <c r="A12" s="178"/>
      <c r="B12" s="172"/>
      <c r="C12" s="172"/>
      <c r="F12" s="179" t="s">
        <v>172</v>
      </c>
      <c r="G12" s="179"/>
      <c r="H12" s="179"/>
    </row>
    <row r="14" spans="1:13" ht="51" customHeight="1" x14ac:dyDescent="0.2">
      <c r="A14" s="168" t="s">
        <v>145</v>
      </c>
      <c r="B14" s="163"/>
      <c r="C14" s="163"/>
      <c r="D14" s="163"/>
      <c r="E14" s="163"/>
      <c r="F14" s="163"/>
      <c r="G14" s="163"/>
      <c r="H14" s="163"/>
      <c r="I14" s="163"/>
      <c r="J14" s="163"/>
      <c r="K14" s="163"/>
      <c r="L14" s="163"/>
      <c r="M14" s="163"/>
    </row>
    <row r="15" spans="1:13" x14ac:dyDescent="0.2">
      <c r="H15" s="49"/>
    </row>
    <row r="16" spans="1:13" x14ac:dyDescent="0.2">
      <c r="A16" s="46" t="s">
        <v>38</v>
      </c>
      <c r="C16" s="60">
        <v>72</v>
      </c>
      <c r="F16" s="50"/>
      <c r="I16" s="51"/>
    </row>
    <row r="18" spans="1:13" x14ac:dyDescent="0.2">
      <c r="A18" s="46" t="s">
        <v>39</v>
      </c>
      <c r="C18" s="60">
        <v>60</v>
      </c>
      <c r="F18" s="50"/>
      <c r="I18" s="51"/>
    </row>
    <row r="19" spans="1:13" x14ac:dyDescent="0.2">
      <c r="C19" s="95"/>
      <c r="F19" s="50"/>
      <c r="I19" s="51"/>
    </row>
    <row r="20" spans="1:13" ht="51" customHeight="1" x14ac:dyDescent="0.2">
      <c r="A20" s="180" t="s">
        <v>163</v>
      </c>
      <c r="B20" s="181"/>
      <c r="C20" s="181"/>
      <c r="D20" s="181"/>
      <c r="E20" s="181"/>
      <c r="F20" s="181"/>
      <c r="G20" s="181"/>
      <c r="H20" s="181"/>
      <c r="I20" s="181"/>
      <c r="J20" s="181"/>
      <c r="K20" s="181"/>
      <c r="L20" s="163"/>
      <c r="M20" s="163"/>
    </row>
    <row r="21" spans="1:13" s="52" customFormat="1" x14ac:dyDescent="0.2">
      <c r="A21" s="47"/>
    </row>
    <row r="22" spans="1:13" s="52" customFormat="1" ht="38.25" customHeight="1" x14ac:dyDescent="0.2">
      <c r="A22" s="168" t="s">
        <v>139</v>
      </c>
      <c r="B22" s="163"/>
      <c r="C22" s="163"/>
      <c r="D22" s="163"/>
      <c r="E22" s="163"/>
      <c r="F22" s="163"/>
      <c r="G22" s="163"/>
      <c r="H22" s="163"/>
      <c r="I22" s="163"/>
      <c r="J22" s="163"/>
      <c r="K22" s="163"/>
      <c r="L22" s="163"/>
      <c r="M22" s="163"/>
    </row>
    <row r="23" spans="1:13" s="52" customFormat="1" x14ac:dyDescent="0.2"/>
    <row r="24" spans="1:13" s="52" customFormat="1" x14ac:dyDescent="0.2">
      <c r="A24" s="166" t="s">
        <v>146</v>
      </c>
      <c r="B24" s="166"/>
      <c r="C24" s="166"/>
      <c r="D24" s="166"/>
      <c r="E24" s="158" t="s">
        <v>148</v>
      </c>
    </row>
    <row r="25" spans="1:13" s="52" customFormat="1" x14ac:dyDescent="0.2"/>
    <row r="26" spans="1:13" ht="38.25" customHeight="1" x14ac:dyDescent="0.2">
      <c r="A26" s="168" t="s">
        <v>140</v>
      </c>
      <c r="B26" s="163"/>
      <c r="C26" s="163"/>
      <c r="D26" s="163"/>
      <c r="E26" s="163"/>
      <c r="F26" s="163"/>
      <c r="G26" s="163"/>
      <c r="H26" s="163"/>
      <c r="I26" s="163"/>
      <c r="J26" s="163"/>
      <c r="K26" s="163"/>
      <c r="L26" s="163"/>
      <c r="M26" s="163"/>
    </row>
    <row r="28" spans="1:13" x14ac:dyDescent="0.2">
      <c r="A28" s="162" t="s">
        <v>122</v>
      </c>
      <c r="B28" s="162"/>
      <c r="C28" s="162"/>
      <c r="D28" s="162"/>
      <c r="E28" s="162"/>
      <c r="F28" s="162"/>
      <c r="G28" s="162"/>
      <c r="H28" s="163"/>
      <c r="I28" s="99" t="s">
        <v>115</v>
      </c>
      <c r="K28" s="99" t="s">
        <v>114</v>
      </c>
    </row>
    <row r="29" spans="1:13" ht="12.75" customHeight="1" x14ac:dyDescent="0.2">
      <c r="A29" s="162" t="s">
        <v>153</v>
      </c>
      <c r="B29" s="162"/>
      <c r="C29" s="162"/>
      <c r="D29" s="162"/>
      <c r="E29" s="162"/>
      <c r="F29" s="162"/>
      <c r="G29" s="162"/>
      <c r="H29" s="162"/>
      <c r="I29" s="162"/>
      <c r="J29" s="162"/>
      <c r="K29" s="162"/>
      <c r="L29" s="162"/>
      <c r="M29" s="162"/>
    </row>
    <row r="30" spans="1:13" x14ac:dyDescent="0.2">
      <c r="C30" s="54"/>
    </row>
    <row r="31" spans="1:13" x14ac:dyDescent="0.2">
      <c r="A31" s="52" t="s">
        <v>100</v>
      </c>
      <c r="C31" s="164" t="s">
        <v>123</v>
      </c>
      <c r="D31" s="165"/>
      <c r="E31" s="165"/>
      <c r="F31" s="165"/>
      <c r="G31" s="165"/>
      <c r="H31" s="162" t="s">
        <v>97</v>
      </c>
      <c r="I31" s="162"/>
      <c r="J31" s="162"/>
      <c r="K31" s="162"/>
      <c r="L31" s="163"/>
      <c r="M31" s="163"/>
    </row>
    <row r="32" spans="1:13" x14ac:dyDescent="0.2">
      <c r="C32" s="89"/>
      <c r="D32" s="47"/>
      <c r="E32" s="47"/>
    </row>
    <row r="33" spans="1:13" x14ac:dyDescent="0.2">
      <c r="A33" s="182" t="s">
        <v>124</v>
      </c>
      <c r="B33" s="182"/>
      <c r="C33" s="90">
        <f>IF(C37="",VLOOKUP(C31,'Locality Rates'!A2:B45,2,FALSE),C37)</f>
        <v>0.1416</v>
      </c>
      <c r="D33" s="183" t="s">
        <v>152</v>
      </c>
      <c r="E33" s="184"/>
      <c r="F33" s="105">
        <f>IF(F37="",IF(E24="Yes",VLOOKUP(C31,'Locality Rates'!A2:C45,3,FALSE),VLOOKUP(C31,'Locality Rates'!A2:F45,5,FALSE)),F37)</f>
        <v>0</v>
      </c>
      <c r="G33" s="185" t="s">
        <v>125</v>
      </c>
      <c r="H33" s="185"/>
      <c r="I33" s="185"/>
      <c r="J33" s="185"/>
      <c r="K33" s="185"/>
      <c r="L33" s="163"/>
      <c r="M33" s="163"/>
    </row>
    <row r="34" spans="1:13" x14ac:dyDescent="0.2">
      <c r="A34" s="103"/>
      <c r="B34" s="103"/>
      <c r="C34" s="106"/>
      <c r="D34" s="104"/>
      <c r="E34" s="45"/>
      <c r="F34" s="107"/>
      <c r="G34" s="108"/>
      <c r="H34" s="109"/>
      <c r="I34" s="110"/>
      <c r="J34" s="111"/>
      <c r="K34" s="111"/>
      <c r="L34" s="111"/>
    </row>
    <row r="35" spans="1:13" x14ac:dyDescent="0.2">
      <c r="A35" s="167" t="s">
        <v>126</v>
      </c>
      <c r="B35" s="167"/>
      <c r="C35" s="167"/>
      <c r="D35" s="167"/>
      <c r="E35" s="167"/>
      <c r="F35" s="167"/>
      <c r="G35" s="167"/>
      <c r="H35" s="167"/>
      <c r="I35" s="167"/>
      <c r="J35" s="167"/>
      <c r="K35" s="167"/>
      <c r="L35" s="163"/>
      <c r="M35" s="163"/>
    </row>
    <row r="36" spans="1:13" x14ac:dyDescent="0.2">
      <c r="A36" s="103"/>
      <c r="B36" s="103"/>
      <c r="C36" s="106"/>
      <c r="D36" s="104"/>
      <c r="E36" s="45"/>
      <c r="F36" s="107"/>
      <c r="G36" s="108"/>
      <c r="H36" s="109"/>
      <c r="I36" s="110"/>
      <c r="J36" s="111"/>
      <c r="K36" s="111"/>
      <c r="L36" s="111"/>
    </row>
    <row r="37" spans="1:13" x14ac:dyDescent="0.2">
      <c r="A37" s="182" t="s">
        <v>124</v>
      </c>
      <c r="B37" s="182"/>
      <c r="C37" s="112"/>
      <c r="D37" s="183" t="s">
        <v>152</v>
      </c>
      <c r="E37" s="184"/>
      <c r="F37" s="113"/>
      <c r="G37" s="188" t="s">
        <v>127</v>
      </c>
      <c r="H37" s="188"/>
      <c r="I37" s="188"/>
      <c r="J37" s="188"/>
      <c r="K37" s="188"/>
      <c r="L37" s="163"/>
      <c r="M37" s="163"/>
    </row>
    <row r="38" spans="1:13" x14ac:dyDescent="0.2">
      <c r="A38" s="111"/>
      <c r="B38" s="111"/>
      <c r="C38" s="90"/>
      <c r="D38" s="50"/>
      <c r="E38" s="111"/>
      <c r="F38" s="111"/>
      <c r="G38" s="111"/>
      <c r="H38" s="111"/>
      <c r="I38" s="111"/>
      <c r="J38" s="111"/>
      <c r="K38" s="111"/>
      <c r="L38" s="111"/>
    </row>
    <row r="39" spans="1:13" ht="38.25" customHeight="1" x14ac:dyDescent="0.2">
      <c r="A39" s="162" t="s">
        <v>128</v>
      </c>
      <c r="B39" s="162"/>
      <c r="C39" s="162"/>
      <c r="D39" s="162"/>
      <c r="E39" s="162"/>
      <c r="F39" s="162"/>
      <c r="G39" s="162"/>
      <c r="H39" s="162"/>
      <c r="I39" s="162"/>
      <c r="J39" s="162"/>
      <c r="K39" s="162"/>
      <c r="L39" s="163"/>
      <c r="M39" s="163"/>
    </row>
    <row r="41" spans="1:13" x14ac:dyDescent="0.2">
      <c r="A41" s="52" t="s">
        <v>144</v>
      </c>
      <c r="C41" s="61">
        <v>26</v>
      </c>
      <c r="E41" s="51"/>
      <c r="F41" s="50"/>
    </row>
    <row r="42" spans="1:13" x14ac:dyDescent="0.2">
      <c r="D42" s="47"/>
    </row>
    <row r="43" spans="1:13" ht="38.25" customHeight="1" x14ac:dyDescent="0.2">
      <c r="A43" s="162" t="s">
        <v>129</v>
      </c>
      <c r="B43" s="162"/>
      <c r="C43" s="162"/>
      <c r="D43" s="162"/>
      <c r="E43" s="162"/>
      <c r="F43" s="162"/>
      <c r="G43" s="162"/>
      <c r="H43" s="162"/>
      <c r="I43" s="162"/>
      <c r="J43" s="162"/>
      <c r="K43" s="162"/>
      <c r="L43" s="175"/>
      <c r="M43" s="175"/>
    </row>
    <row r="44" spans="1:13" ht="12.75" customHeight="1" x14ac:dyDescent="0.2">
      <c r="A44" s="102"/>
      <c r="B44" s="102"/>
      <c r="C44" s="102"/>
      <c r="D44" s="102"/>
      <c r="E44" s="102"/>
      <c r="F44" s="102"/>
      <c r="G44" s="102"/>
      <c r="H44" s="102"/>
      <c r="I44" s="102"/>
      <c r="J44" s="102"/>
      <c r="K44" s="102"/>
    </row>
    <row r="45" spans="1:13" x14ac:dyDescent="0.2">
      <c r="B45" s="97"/>
      <c r="D45" s="172" t="s">
        <v>102</v>
      </c>
      <c r="E45" s="172"/>
      <c r="F45" s="172"/>
      <c r="I45" s="172" t="s">
        <v>103</v>
      </c>
      <c r="J45" s="172"/>
    </row>
    <row r="47" spans="1:13" s="97" customFormat="1" ht="25.5" customHeight="1" x14ac:dyDescent="0.2">
      <c r="A47" s="186" t="str">
        <f>"Enter the raise below for the appropriate year.  This file is initially set-up for the year "&amp;$C$58&amp;".  In order for it to be updated correctly, you must not skip a year.  (Hint: If the year shown on the charts is wrong, you probably skipped a raise.)"</f>
        <v>Enter the raise below for the appropriate year.  This file is initially set-up for the year 2012.  In order for it to be updated correctly, you must not skip a year.  (Hint: If the year shown on the charts is wrong, you probably skipped a raise.)</v>
      </c>
      <c r="B47" s="186"/>
      <c r="C47" s="186"/>
      <c r="D47" s="186"/>
      <c r="E47" s="186"/>
      <c r="F47" s="186"/>
      <c r="G47" s="186"/>
      <c r="H47" s="186"/>
      <c r="I47" s="186"/>
      <c r="J47" s="186"/>
      <c r="K47" s="186"/>
      <c r="L47" s="163"/>
      <c r="M47" s="163"/>
    </row>
    <row r="48" spans="1:13" x14ac:dyDescent="0.2">
      <c r="A48" s="97"/>
    </row>
    <row r="49" spans="1:13" ht="51" customHeight="1" x14ac:dyDescent="0.2">
      <c r="A49" s="162" t="s">
        <v>130</v>
      </c>
      <c r="B49" s="162"/>
      <c r="C49" s="162"/>
      <c r="D49" s="162"/>
      <c r="E49" s="162"/>
      <c r="F49" s="162"/>
      <c r="G49" s="162"/>
      <c r="H49" s="162"/>
      <c r="I49" s="162"/>
      <c r="J49" s="162"/>
      <c r="K49" s="162"/>
      <c r="L49" s="163"/>
      <c r="M49" s="163"/>
    </row>
    <row r="50" spans="1:13" x14ac:dyDescent="0.2">
      <c r="A50" s="55"/>
    </row>
    <row r="51" spans="1:13" ht="38.25" customHeight="1" x14ac:dyDescent="0.2">
      <c r="A51" s="187" t="s">
        <v>131</v>
      </c>
      <c r="B51" s="187"/>
      <c r="C51" s="187"/>
      <c r="D51" s="187"/>
      <c r="E51" s="187"/>
      <c r="F51" s="187"/>
      <c r="G51" s="187"/>
      <c r="H51" s="187"/>
      <c r="I51" s="187"/>
      <c r="J51" s="187"/>
      <c r="K51" s="187"/>
      <c r="L51" s="163"/>
      <c r="M51" s="163"/>
    </row>
    <row r="52" spans="1:13" x14ac:dyDescent="0.2">
      <c r="A52" s="55"/>
    </row>
    <row r="53" spans="1:13" x14ac:dyDescent="0.2">
      <c r="A53" s="56" t="s">
        <v>34</v>
      </c>
      <c r="B53" s="56" t="s">
        <v>45</v>
      </c>
      <c r="C53" s="56" t="s">
        <v>34</v>
      </c>
      <c r="D53" s="56" t="s">
        <v>45</v>
      </c>
      <c r="G53" s="91"/>
      <c r="H53" s="48" t="s">
        <v>111</v>
      </c>
      <c r="I53" s="56" t="s">
        <v>34</v>
      </c>
      <c r="J53" s="56" t="s">
        <v>45</v>
      </c>
    </row>
    <row r="54" spans="1:13" x14ac:dyDescent="0.2">
      <c r="A54" s="57">
        <f>'GS Pay Calculator'!B2+1</f>
        <v>2013</v>
      </c>
      <c r="B54" s="114">
        <v>0</v>
      </c>
      <c r="C54" s="57">
        <f>A54+1</f>
        <v>2014</v>
      </c>
      <c r="D54" s="114">
        <v>0</v>
      </c>
      <c r="F54" s="53"/>
      <c r="I54" s="57">
        <v>1994</v>
      </c>
      <c r="J54" s="98" t="s">
        <v>112</v>
      </c>
    </row>
    <row r="55" spans="1:13" x14ac:dyDescent="0.2">
      <c r="A55" s="57">
        <f>A54+2</f>
        <v>2015</v>
      </c>
      <c r="B55" s="114">
        <v>0</v>
      </c>
      <c r="C55" s="57">
        <f>C54+2</f>
        <v>2016</v>
      </c>
      <c r="D55" s="114">
        <v>0</v>
      </c>
      <c r="F55" s="53"/>
      <c r="I55" s="57">
        <v>1999</v>
      </c>
      <c r="J55" s="98">
        <v>3.1</v>
      </c>
    </row>
    <row r="56" spans="1:13" x14ac:dyDescent="0.2">
      <c r="A56" s="57">
        <f>A55+2</f>
        <v>2017</v>
      </c>
      <c r="B56" s="114">
        <v>0</v>
      </c>
      <c r="C56" s="57">
        <f>C55+2</f>
        <v>2018</v>
      </c>
      <c r="D56" s="114">
        <v>0</v>
      </c>
      <c r="F56" s="53"/>
      <c r="I56" s="57">
        <v>2000</v>
      </c>
      <c r="J56" s="98">
        <v>3.8</v>
      </c>
    </row>
    <row r="57" spans="1:13" x14ac:dyDescent="0.2">
      <c r="A57" s="57">
        <f>A56+2</f>
        <v>2019</v>
      </c>
      <c r="B57" s="114">
        <v>0</v>
      </c>
      <c r="C57" s="57">
        <f>C56+2</f>
        <v>2020</v>
      </c>
      <c r="D57" s="114">
        <v>0</v>
      </c>
      <c r="F57" s="53"/>
      <c r="I57" s="57">
        <v>2011</v>
      </c>
      <c r="J57" s="98" t="s">
        <v>112</v>
      </c>
    </row>
    <row r="58" spans="1:13" hidden="1" x14ac:dyDescent="0.2">
      <c r="A58" s="93" t="s">
        <v>104</v>
      </c>
      <c r="B58" s="92"/>
      <c r="C58" s="59">
        <v>2012</v>
      </c>
      <c r="D58" s="92"/>
      <c r="F58" s="53"/>
    </row>
    <row r="59" spans="1:13" x14ac:dyDescent="0.2">
      <c r="B59" s="58"/>
      <c r="C59" s="59"/>
      <c r="D59" s="58"/>
    </row>
    <row r="60" spans="1:13" ht="51" customHeight="1" x14ac:dyDescent="0.2">
      <c r="A60" s="162" t="s">
        <v>132</v>
      </c>
      <c r="B60" s="162"/>
      <c r="C60" s="162"/>
      <c r="D60" s="162"/>
      <c r="E60" s="162"/>
      <c r="F60" s="162"/>
      <c r="G60" s="162"/>
      <c r="H60" s="162"/>
      <c r="I60" s="162"/>
      <c r="J60" s="162"/>
      <c r="K60" s="162"/>
      <c r="L60" s="163"/>
      <c r="M60" s="163"/>
    </row>
    <row r="61" spans="1:13" x14ac:dyDescent="0.2">
      <c r="A61" s="52"/>
      <c r="C61" s="54"/>
      <c r="E61" s="51"/>
    </row>
    <row r="62" spans="1:13" ht="63.75" customHeight="1" x14ac:dyDescent="0.2">
      <c r="A62" s="162" t="s">
        <v>174</v>
      </c>
      <c r="B62" s="162"/>
      <c r="C62" s="162"/>
      <c r="D62" s="162"/>
      <c r="E62" s="162"/>
      <c r="F62" s="162"/>
      <c r="G62" s="162"/>
      <c r="H62" s="162"/>
      <c r="I62" s="162"/>
      <c r="J62" s="162"/>
      <c r="K62" s="162"/>
      <c r="L62" s="163"/>
      <c r="M62" s="163"/>
    </row>
    <row r="63" spans="1:13" x14ac:dyDescent="0.2">
      <c r="A63" s="52" t="s">
        <v>19</v>
      </c>
      <c r="C63" s="54"/>
      <c r="E63" s="51"/>
    </row>
    <row r="64" spans="1:13" x14ac:dyDescent="0.2">
      <c r="A64" s="52"/>
      <c r="C64" s="54"/>
      <c r="E64" s="51"/>
    </row>
    <row r="65" spans="1:5" x14ac:dyDescent="0.2">
      <c r="C65" s="54"/>
      <c r="E65" s="51"/>
    </row>
    <row r="66" spans="1:5" x14ac:dyDescent="0.2">
      <c r="A66" s="52"/>
      <c r="C66" s="54"/>
      <c r="E66" s="51"/>
    </row>
    <row r="67" spans="1:5" x14ac:dyDescent="0.2">
      <c r="A67" s="52"/>
    </row>
  </sheetData>
  <sheetProtection algorithmName="SHA-512" hashValue="q/gpwQuEhsGKkCrBh51ldoTVWc5tmEb556tfiYKy/+VokU3YQoSdsJNvtv478MCIRrkv5bu9xd2cejf6zq0oww==" saltValue="CN2cA0BYZlyzD5XZd99Xkw==" spinCount="100000" sheet="1" objects="1" scenarios="1"/>
  <mergeCells count="33">
    <mergeCell ref="A37:B37"/>
    <mergeCell ref="A39:M39"/>
    <mergeCell ref="A43:M43"/>
    <mergeCell ref="D45:F45"/>
    <mergeCell ref="I45:J45"/>
    <mergeCell ref="D37:E37"/>
    <mergeCell ref="G37:M37"/>
    <mergeCell ref="A62:M62"/>
    <mergeCell ref="A47:M47"/>
    <mergeCell ref="A49:M49"/>
    <mergeCell ref="A51:M51"/>
    <mergeCell ref="A60:M60"/>
    <mergeCell ref="A22:M22"/>
    <mergeCell ref="A26:M26"/>
    <mergeCell ref="A8:M8"/>
    <mergeCell ref="A1:M1"/>
    <mergeCell ref="F2:H2"/>
    <mergeCell ref="C4:K4"/>
    <mergeCell ref="A6:M6"/>
    <mergeCell ref="A10:M10"/>
    <mergeCell ref="A12:C12"/>
    <mergeCell ref="F12:H12"/>
    <mergeCell ref="A14:M14"/>
    <mergeCell ref="A20:M20"/>
    <mergeCell ref="A28:H28"/>
    <mergeCell ref="C31:G31"/>
    <mergeCell ref="A24:D24"/>
    <mergeCell ref="A35:M35"/>
    <mergeCell ref="A29:M29"/>
    <mergeCell ref="H31:M31"/>
    <mergeCell ref="A33:B33"/>
    <mergeCell ref="D33:E33"/>
    <mergeCell ref="G33:M33"/>
  </mergeCells>
  <phoneticPr fontId="0" type="noConversion"/>
  <dataValidations count="7">
    <dataValidation type="decimal" allowBlank="1" showInputMessage="1" showErrorMessage="1" error="Enter a raise between 0 &amp; 20" sqref="B54:B57 D54:D57" xr:uid="{00000000-0002-0000-0000-000000000000}">
      <formula1>0</formula1>
      <formula2>20</formula2>
    </dataValidation>
    <dataValidation type="decimal" allowBlank="1" showInputMessage="1" showErrorMessage="1" error="Make sure you enter the locality rate as a number between 0 and 50, and don't enter a % sign." sqref="H34 H36" xr:uid="{00000000-0002-0000-0000-000001000000}">
      <formula1>0</formula1>
      <formula2>50</formula2>
    </dataValidation>
    <dataValidation type="list" allowBlank="1" showInputMessage="1" showErrorMessage="1" sqref="C16" xr:uid="{00000000-0002-0000-0000-000002000000}">
      <formula1>Shift</formula1>
    </dataValidation>
    <dataValidation type="list" allowBlank="1" showInputMessage="1" showErrorMessage="1" sqref="C18" xr:uid="{00000000-0002-0000-0000-000003000000}">
      <formula1>Inspectors</formula1>
    </dataValidation>
    <dataValidation type="list" allowBlank="1" showInputMessage="1" showErrorMessage="1" sqref="C31:G31" xr:uid="{00000000-0002-0000-0000-000004000000}">
      <formula1>Locality</formula1>
    </dataValidation>
    <dataValidation type="list" allowBlank="1" showInputMessage="1" showErrorMessage="1" sqref="C41" xr:uid="{00000000-0002-0000-0000-000005000000}">
      <formula1>Payperiods</formula1>
    </dataValidation>
    <dataValidation type="list" allowBlank="1" showInputMessage="1" showErrorMessage="1" sqref="E24" xr:uid="{00000000-0002-0000-0000-000006000000}">
      <formula1>Post</formula1>
    </dataValidation>
  </dataValidations>
  <hyperlinks>
    <hyperlink ref="F2" r:id="rId1" xr:uid="{00000000-0004-0000-0000-000000000000}"/>
    <hyperlink ref="D45" r:id="rId2" xr:uid="{00000000-0004-0000-0000-000001000000}"/>
    <hyperlink ref="I45:J45" r:id="rId3" display="http://www.iaff16.org" xr:uid="{00000000-0004-0000-0000-000002000000}"/>
    <hyperlink ref="F2:H2" r:id="rId4" display="Developed by Anthony J. Fanchi" xr:uid="{00000000-0004-0000-0000-000003000000}"/>
    <hyperlink ref="I28" r:id="rId5" xr:uid="{00000000-0004-0000-0000-000004000000}"/>
    <hyperlink ref="K28" r:id="rId6" xr:uid="{00000000-0004-0000-0000-000005000000}"/>
    <hyperlink ref="C4:K4" location="'.'!H26" display="I don't need to read all this stuff!  Take me to the pay charts!" xr:uid="{00000000-0004-0000-0000-000006000000}"/>
    <hyperlink ref="F12:H12" location="'Pay Retention &amp; Special Rates'!D3" display="Pay Retention &amp; Special Rates" xr:uid="{00000000-0004-0000-0000-000007000000}"/>
  </hyperlinks>
  <printOptions horizontalCentered="1"/>
  <pageMargins left="0.75" right="0.75" top="1" bottom="1" header="0.5" footer="0.5"/>
  <pageSetup scale="70" orientation="portrait" horizontalDpi="300" verticalDpi="300" r:id="rId7"/>
  <headerFooter alignWithMargins="0"/>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0"/>
  <sheetViews>
    <sheetView showGridLines="0" workbookViewId="0">
      <selection activeCell="B3" sqref="B3"/>
    </sheetView>
  </sheetViews>
  <sheetFormatPr defaultRowHeight="12.75" x14ac:dyDescent="0.2"/>
  <cols>
    <col min="1" max="1" width="9.28515625" style="45" customWidth="1"/>
    <col min="2" max="11" width="9.140625" style="45"/>
  </cols>
  <sheetData>
    <row r="1" spans="1:11" s="1" customFormat="1" ht="12.75" customHeight="1" x14ac:dyDescent="0.2">
      <c r="A1" s="65" t="s">
        <v>27</v>
      </c>
      <c r="B1" s="189"/>
      <c r="C1" s="190"/>
      <c r="D1" s="190"/>
      <c r="E1" s="190"/>
      <c r="F1" s="190"/>
      <c r="G1" s="190"/>
      <c r="H1" s="190"/>
      <c r="I1" s="190"/>
      <c r="J1" s="190"/>
      <c r="K1" s="190"/>
    </row>
    <row r="2" spans="1:11" s="1" customFormat="1" x14ac:dyDescent="0.2">
      <c r="A2" s="3" t="s">
        <v>29</v>
      </c>
      <c r="B2" s="67">
        <f>'Start Page'!C58</f>
        <v>2012</v>
      </c>
      <c r="C2" s="67" t="s">
        <v>47</v>
      </c>
      <c r="D2" s="67">
        <f>B2+1</f>
        <v>2013</v>
      </c>
      <c r="E2" s="67" t="s">
        <v>47</v>
      </c>
      <c r="F2" s="67">
        <f>D2+1</f>
        <v>2014</v>
      </c>
      <c r="G2" s="67" t="s">
        <v>47</v>
      </c>
      <c r="H2" s="67">
        <f>F2+1</f>
        <v>2015</v>
      </c>
      <c r="I2" s="68" t="s">
        <v>47</v>
      </c>
      <c r="J2" s="67">
        <f>H2+1</f>
        <v>2016</v>
      </c>
      <c r="K2" s="67" t="s">
        <v>47</v>
      </c>
    </row>
    <row r="3" spans="1:11" s="1" customFormat="1" x14ac:dyDescent="0.2">
      <c r="A3" s="69" t="s">
        <v>48</v>
      </c>
      <c r="B3" s="82">
        <v>21840</v>
      </c>
      <c r="C3" s="83">
        <v>728</v>
      </c>
      <c r="D3" s="71">
        <f t="shared" ref="D3:E14" si="0">ROUND(B3+(B3*$K$17),0)</f>
        <v>21840</v>
      </c>
      <c r="E3" s="71">
        <f t="shared" si="0"/>
        <v>728</v>
      </c>
      <c r="F3" s="71">
        <f t="shared" ref="F3:G14" si="1">ROUND(D3+(D3*$K$18),0)</f>
        <v>21840</v>
      </c>
      <c r="G3" s="71">
        <f t="shared" si="1"/>
        <v>728</v>
      </c>
      <c r="H3" s="71">
        <f t="shared" ref="H3:I14" si="2">ROUND(F3+(F3*$K$19),0)</f>
        <v>21840</v>
      </c>
      <c r="I3" s="71">
        <f t="shared" si="2"/>
        <v>728</v>
      </c>
      <c r="J3" s="71">
        <f t="shared" ref="J3:K14" si="3">ROUND(H3+(H3*$K$20),0)</f>
        <v>21840</v>
      </c>
      <c r="K3" s="71">
        <f t="shared" si="3"/>
        <v>728</v>
      </c>
    </row>
    <row r="4" spans="1:11" s="1" customFormat="1" x14ac:dyDescent="0.2">
      <c r="A4" s="72" t="s">
        <v>49</v>
      </c>
      <c r="B4" s="82">
        <v>24518</v>
      </c>
      <c r="C4" s="83">
        <v>817</v>
      </c>
      <c r="D4" s="71">
        <f t="shared" si="0"/>
        <v>24518</v>
      </c>
      <c r="E4" s="71">
        <f t="shared" si="0"/>
        <v>817</v>
      </c>
      <c r="F4" s="71">
        <f t="shared" si="1"/>
        <v>24518</v>
      </c>
      <c r="G4" s="71">
        <f t="shared" si="1"/>
        <v>817</v>
      </c>
      <c r="H4" s="71">
        <f t="shared" si="2"/>
        <v>24518</v>
      </c>
      <c r="I4" s="71">
        <f t="shared" si="2"/>
        <v>817</v>
      </c>
      <c r="J4" s="71">
        <f t="shared" si="3"/>
        <v>24518</v>
      </c>
      <c r="K4" s="71">
        <f t="shared" si="3"/>
        <v>817</v>
      </c>
    </row>
    <row r="5" spans="1:11" s="1" customFormat="1" x14ac:dyDescent="0.2">
      <c r="A5" s="69" t="s">
        <v>50</v>
      </c>
      <c r="B5" s="82">
        <v>27431</v>
      </c>
      <c r="C5" s="83">
        <v>914</v>
      </c>
      <c r="D5" s="71">
        <f t="shared" si="0"/>
        <v>27431</v>
      </c>
      <c r="E5" s="71">
        <f t="shared" si="0"/>
        <v>914</v>
      </c>
      <c r="F5" s="71">
        <f t="shared" si="1"/>
        <v>27431</v>
      </c>
      <c r="G5" s="71">
        <f t="shared" si="1"/>
        <v>914</v>
      </c>
      <c r="H5" s="71">
        <f t="shared" si="2"/>
        <v>27431</v>
      </c>
      <c r="I5" s="71">
        <f t="shared" si="2"/>
        <v>914</v>
      </c>
      <c r="J5" s="71">
        <f t="shared" si="3"/>
        <v>27431</v>
      </c>
      <c r="K5" s="71">
        <f t="shared" si="3"/>
        <v>914</v>
      </c>
    </row>
    <row r="6" spans="1:11" s="1" customFormat="1" x14ac:dyDescent="0.2">
      <c r="A6" s="72" t="s">
        <v>51</v>
      </c>
      <c r="B6" s="82">
        <v>30577</v>
      </c>
      <c r="C6" s="83">
        <v>1019</v>
      </c>
      <c r="D6" s="71">
        <f t="shared" si="0"/>
        <v>30577</v>
      </c>
      <c r="E6" s="71">
        <f t="shared" si="0"/>
        <v>1019</v>
      </c>
      <c r="F6" s="71">
        <f t="shared" si="1"/>
        <v>30577</v>
      </c>
      <c r="G6" s="71">
        <f t="shared" si="1"/>
        <v>1019</v>
      </c>
      <c r="H6" s="71">
        <f t="shared" si="2"/>
        <v>30577</v>
      </c>
      <c r="I6" s="71">
        <f t="shared" si="2"/>
        <v>1019</v>
      </c>
      <c r="J6" s="71">
        <f t="shared" si="3"/>
        <v>30577</v>
      </c>
      <c r="K6" s="71">
        <f t="shared" si="3"/>
        <v>1019</v>
      </c>
    </row>
    <row r="7" spans="1:11" s="1" customFormat="1" x14ac:dyDescent="0.2">
      <c r="A7" s="69" t="s">
        <v>52</v>
      </c>
      <c r="B7" s="82">
        <v>33979</v>
      </c>
      <c r="C7" s="83">
        <v>1133</v>
      </c>
      <c r="D7" s="71">
        <f t="shared" si="0"/>
        <v>33979</v>
      </c>
      <c r="E7" s="71">
        <f t="shared" si="0"/>
        <v>1133</v>
      </c>
      <c r="F7" s="71">
        <f t="shared" si="1"/>
        <v>33979</v>
      </c>
      <c r="G7" s="71">
        <f t="shared" si="1"/>
        <v>1133</v>
      </c>
      <c r="H7" s="71">
        <f t="shared" si="2"/>
        <v>33979</v>
      </c>
      <c r="I7" s="71">
        <f t="shared" si="2"/>
        <v>1133</v>
      </c>
      <c r="J7" s="71">
        <f t="shared" si="3"/>
        <v>33979</v>
      </c>
      <c r="K7" s="71">
        <f t="shared" si="3"/>
        <v>1133</v>
      </c>
    </row>
    <row r="8" spans="1:11" s="1" customFormat="1" x14ac:dyDescent="0.2">
      <c r="A8" s="72" t="s">
        <v>53</v>
      </c>
      <c r="B8" s="82">
        <v>37631</v>
      </c>
      <c r="C8" s="83">
        <v>1254</v>
      </c>
      <c r="D8" s="71">
        <f t="shared" si="0"/>
        <v>37631</v>
      </c>
      <c r="E8" s="71">
        <f t="shared" si="0"/>
        <v>1254</v>
      </c>
      <c r="F8" s="71">
        <f t="shared" si="1"/>
        <v>37631</v>
      </c>
      <c r="G8" s="71">
        <f t="shared" si="1"/>
        <v>1254</v>
      </c>
      <c r="H8" s="71">
        <f t="shared" si="2"/>
        <v>37631</v>
      </c>
      <c r="I8" s="71">
        <f t="shared" si="2"/>
        <v>1254</v>
      </c>
      <c r="J8" s="71">
        <f t="shared" si="3"/>
        <v>37631</v>
      </c>
      <c r="K8" s="71">
        <f t="shared" si="3"/>
        <v>1254</v>
      </c>
    </row>
    <row r="9" spans="1:11" s="1" customFormat="1" x14ac:dyDescent="0.2">
      <c r="A9" s="69" t="s">
        <v>54</v>
      </c>
      <c r="B9" s="82">
        <v>41563</v>
      </c>
      <c r="C9" s="83">
        <v>1385</v>
      </c>
      <c r="D9" s="71">
        <f t="shared" si="0"/>
        <v>41563</v>
      </c>
      <c r="E9" s="71">
        <f t="shared" si="0"/>
        <v>1385</v>
      </c>
      <c r="F9" s="71">
        <f t="shared" si="1"/>
        <v>41563</v>
      </c>
      <c r="G9" s="71">
        <f t="shared" si="1"/>
        <v>1385</v>
      </c>
      <c r="H9" s="71">
        <f t="shared" si="2"/>
        <v>41563</v>
      </c>
      <c r="I9" s="71">
        <f t="shared" si="2"/>
        <v>1385</v>
      </c>
      <c r="J9" s="71">
        <f t="shared" si="3"/>
        <v>41563</v>
      </c>
      <c r="K9" s="71">
        <f t="shared" si="3"/>
        <v>1385</v>
      </c>
    </row>
    <row r="10" spans="1:11" s="1" customFormat="1" x14ac:dyDescent="0.2">
      <c r="A10" s="72" t="s">
        <v>55</v>
      </c>
      <c r="B10" s="82">
        <v>45771</v>
      </c>
      <c r="C10" s="83">
        <v>1526</v>
      </c>
      <c r="D10" s="71">
        <f t="shared" si="0"/>
        <v>45771</v>
      </c>
      <c r="E10" s="71">
        <f t="shared" si="0"/>
        <v>1526</v>
      </c>
      <c r="F10" s="71">
        <f t="shared" si="1"/>
        <v>45771</v>
      </c>
      <c r="G10" s="71">
        <f t="shared" si="1"/>
        <v>1526</v>
      </c>
      <c r="H10" s="71">
        <f t="shared" si="2"/>
        <v>45771</v>
      </c>
      <c r="I10" s="71">
        <f t="shared" si="2"/>
        <v>1526</v>
      </c>
      <c r="J10" s="71">
        <f t="shared" si="3"/>
        <v>45771</v>
      </c>
      <c r="K10" s="71">
        <f t="shared" si="3"/>
        <v>1526</v>
      </c>
    </row>
    <row r="11" spans="1:11" s="1" customFormat="1" x14ac:dyDescent="0.2">
      <c r="A11" s="69" t="s">
        <v>56</v>
      </c>
      <c r="B11" s="82">
        <v>50287</v>
      </c>
      <c r="C11" s="83">
        <v>1676</v>
      </c>
      <c r="D11" s="71">
        <f t="shared" si="0"/>
        <v>50287</v>
      </c>
      <c r="E11" s="71">
        <f t="shared" si="0"/>
        <v>1676</v>
      </c>
      <c r="F11" s="71">
        <f t="shared" si="1"/>
        <v>50287</v>
      </c>
      <c r="G11" s="71">
        <f t="shared" si="1"/>
        <v>1676</v>
      </c>
      <c r="H11" s="71">
        <f t="shared" si="2"/>
        <v>50287</v>
      </c>
      <c r="I11" s="71">
        <f t="shared" si="2"/>
        <v>1676</v>
      </c>
      <c r="J11" s="71">
        <f t="shared" si="3"/>
        <v>50287</v>
      </c>
      <c r="K11" s="71">
        <f t="shared" si="3"/>
        <v>1676</v>
      </c>
    </row>
    <row r="12" spans="1:11" s="1" customFormat="1" x14ac:dyDescent="0.2">
      <c r="A12" s="72" t="s">
        <v>57</v>
      </c>
      <c r="B12" s="82">
        <v>60274</v>
      </c>
      <c r="C12" s="83">
        <v>2009</v>
      </c>
      <c r="D12" s="71">
        <f t="shared" si="0"/>
        <v>60274</v>
      </c>
      <c r="E12" s="71">
        <f t="shared" si="0"/>
        <v>2009</v>
      </c>
      <c r="F12" s="71">
        <f t="shared" si="1"/>
        <v>60274</v>
      </c>
      <c r="G12" s="71">
        <f t="shared" si="1"/>
        <v>2009</v>
      </c>
      <c r="H12" s="71">
        <f t="shared" si="2"/>
        <v>60274</v>
      </c>
      <c r="I12" s="71">
        <f t="shared" si="2"/>
        <v>2009</v>
      </c>
      <c r="J12" s="71">
        <f t="shared" si="3"/>
        <v>60274</v>
      </c>
      <c r="K12" s="71">
        <f t="shared" si="3"/>
        <v>2009</v>
      </c>
    </row>
    <row r="13" spans="1:11" s="1" customFormat="1" x14ac:dyDescent="0.2">
      <c r="A13" s="74" t="s">
        <v>58</v>
      </c>
      <c r="B13" s="82">
        <v>71674</v>
      </c>
      <c r="C13" s="83">
        <v>2389</v>
      </c>
      <c r="D13" s="71">
        <f>ROUND(B13+(B13*$K$17),0)</f>
        <v>71674</v>
      </c>
      <c r="E13" s="71">
        <f>ROUND(C13+(C13*$K$17),0)</f>
        <v>2389</v>
      </c>
      <c r="F13" s="71">
        <f>ROUND(D13+(D13*$K$18),0)</f>
        <v>71674</v>
      </c>
      <c r="G13" s="71">
        <f>ROUND(E13+(E13*$K$18),0)</f>
        <v>2389</v>
      </c>
      <c r="H13" s="71">
        <f>ROUND(F13+(F13*$K$19),0)</f>
        <v>71674</v>
      </c>
      <c r="I13" s="71">
        <f>ROUND(G13+(G13*$K$19),0)</f>
        <v>2389</v>
      </c>
      <c r="J13" s="71">
        <f>ROUND(H13+(H13*$K$20),0)</f>
        <v>71674</v>
      </c>
      <c r="K13" s="71">
        <f>ROUND(I13+(I13*$K$20),0)</f>
        <v>2389</v>
      </c>
    </row>
    <row r="14" spans="1:11" s="1" customFormat="1" x14ac:dyDescent="0.2">
      <c r="A14" s="74" t="s">
        <v>160</v>
      </c>
      <c r="B14" s="82">
        <v>84697</v>
      </c>
      <c r="C14" s="83">
        <v>2823</v>
      </c>
      <c r="D14" s="71">
        <f t="shared" si="0"/>
        <v>84697</v>
      </c>
      <c r="E14" s="71">
        <f t="shared" si="0"/>
        <v>2823</v>
      </c>
      <c r="F14" s="71">
        <f t="shared" si="1"/>
        <v>84697</v>
      </c>
      <c r="G14" s="71">
        <f t="shared" si="1"/>
        <v>2823</v>
      </c>
      <c r="H14" s="71">
        <f t="shared" si="2"/>
        <v>84697</v>
      </c>
      <c r="I14" s="71">
        <f t="shared" si="2"/>
        <v>2823</v>
      </c>
      <c r="J14" s="71">
        <f t="shared" si="3"/>
        <v>84697</v>
      </c>
      <c r="K14" s="71">
        <f t="shared" si="3"/>
        <v>2823</v>
      </c>
    </row>
    <row r="15" spans="1:11" s="1" customFormat="1" x14ac:dyDescent="0.2">
      <c r="A15" s="75"/>
      <c r="B15" s="76"/>
      <c r="C15" s="76"/>
      <c r="D15" s="76"/>
      <c r="E15" s="76"/>
      <c r="F15" s="76"/>
      <c r="G15" s="76"/>
      <c r="H15" s="76"/>
      <c r="I15" s="76"/>
      <c r="J15" s="76"/>
      <c r="K15" s="77"/>
    </row>
    <row r="16" spans="1:11" x14ac:dyDescent="0.2">
      <c r="A16" s="3" t="s">
        <v>29</v>
      </c>
      <c r="B16" s="3">
        <f>J2+1</f>
        <v>2017</v>
      </c>
      <c r="C16" s="3" t="s">
        <v>47</v>
      </c>
      <c r="D16" s="67">
        <f>B16+1</f>
        <v>2018</v>
      </c>
      <c r="E16" s="3" t="s">
        <v>47</v>
      </c>
      <c r="F16" s="67">
        <f>D16+1</f>
        <v>2019</v>
      </c>
      <c r="G16" s="3" t="s">
        <v>47</v>
      </c>
      <c r="H16" s="67">
        <f>F16+1</f>
        <v>2020</v>
      </c>
      <c r="I16" s="3" t="s">
        <v>47</v>
      </c>
      <c r="J16" s="3" t="s">
        <v>59</v>
      </c>
      <c r="K16" s="3" t="s">
        <v>60</v>
      </c>
    </row>
    <row r="17" spans="1:11" x14ac:dyDescent="0.2">
      <c r="A17" s="69" t="s">
        <v>48</v>
      </c>
      <c r="B17" s="71">
        <f t="shared" ref="B17:B28" si="4">ROUND(J3+(J3*$K$21),0)</f>
        <v>21840</v>
      </c>
      <c r="C17" s="71">
        <f t="shared" ref="C17:C28" si="5">ROUND(K3+(K3*$K$21),0)</f>
        <v>728</v>
      </c>
      <c r="D17" s="71">
        <f t="shared" ref="D17:E28" si="6">ROUND(B17+(B17*$K$22),0)</f>
        <v>21840</v>
      </c>
      <c r="E17" s="71">
        <f t="shared" si="6"/>
        <v>728</v>
      </c>
      <c r="F17" s="71">
        <f t="shared" ref="F17:G28" si="7">ROUND(D17+(D17*$K$23),0)</f>
        <v>21840</v>
      </c>
      <c r="G17" s="71">
        <f t="shared" si="7"/>
        <v>728</v>
      </c>
      <c r="H17" s="71">
        <f t="shared" ref="H17:I28" si="8">ROUND(F17+(F17*$K$24),0)</f>
        <v>21840</v>
      </c>
      <c r="I17" s="71">
        <f t="shared" si="8"/>
        <v>728</v>
      </c>
      <c r="J17" s="78">
        <f>B2+1</f>
        <v>2013</v>
      </c>
      <c r="K17" s="79">
        <f>IF('Start Page'!B54="N/A",0,'Start Page'!B54)</f>
        <v>0</v>
      </c>
    </row>
    <row r="18" spans="1:11" x14ac:dyDescent="0.2">
      <c r="A18" s="72" t="s">
        <v>49</v>
      </c>
      <c r="B18" s="71">
        <f t="shared" si="4"/>
        <v>24518</v>
      </c>
      <c r="C18" s="71">
        <f t="shared" si="5"/>
        <v>817</v>
      </c>
      <c r="D18" s="71">
        <f t="shared" si="6"/>
        <v>24518</v>
      </c>
      <c r="E18" s="71">
        <f t="shared" si="6"/>
        <v>817</v>
      </c>
      <c r="F18" s="71">
        <f t="shared" si="7"/>
        <v>24518</v>
      </c>
      <c r="G18" s="71">
        <f t="shared" si="7"/>
        <v>817</v>
      </c>
      <c r="H18" s="71">
        <f t="shared" si="8"/>
        <v>24518</v>
      </c>
      <c r="I18" s="71">
        <f t="shared" si="8"/>
        <v>817</v>
      </c>
      <c r="J18" s="80">
        <f>J17+1</f>
        <v>2014</v>
      </c>
      <c r="K18" s="79">
        <f>IF('Start Page'!D54="N/A",0,'Start Page'!D54)</f>
        <v>0</v>
      </c>
    </row>
    <row r="19" spans="1:11" x14ac:dyDescent="0.2">
      <c r="A19" s="69" t="s">
        <v>50</v>
      </c>
      <c r="B19" s="71">
        <f t="shared" si="4"/>
        <v>27431</v>
      </c>
      <c r="C19" s="71">
        <f t="shared" si="5"/>
        <v>914</v>
      </c>
      <c r="D19" s="71">
        <f t="shared" si="6"/>
        <v>27431</v>
      </c>
      <c r="E19" s="71">
        <f t="shared" si="6"/>
        <v>914</v>
      </c>
      <c r="F19" s="71">
        <f t="shared" si="7"/>
        <v>27431</v>
      </c>
      <c r="G19" s="71">
        <f t="shared" si="7"/>
        <v>914</v>
      </c>
      <c r="H19" s="71">
        <f t="shared" si="8"/>
        <v>27431</v>
      </c>
      <c r="I19" s="71">
        <f t="shared" si="8"/>
        <v>914</v>
      </c>
      <c r="J19" s="80">
        <f t="shared" ref="J19:J24" si="9">J18+1</f>
        <v>2015</v>
      </c>
      <c r="K19" s="79">
        <f>IF('Start Page'!B55="N/A",0,'Start Page'!B55)</f>
        <v>0</v>
      </c>
    </row>
    <row r="20" spans="1:11" x14ac:dyDescent="0.2">
      <c r="A20" s="72" t="s">
        <v>51</v>
      </c>
      <c r="B20" s="71">
        <f t="shared" si="4"/>
        <v>30577</v>
      </c>
      <c r="C20" s="71">
        <f t="shared" si="5"/>
        <v>1019</v>
      </c>
      <c r="D20" s="71">
        <f t="shared" si="6"/>
        <v>30577</v>
      </c>
      <c r="E20" s="71">
        <f t="shared" si="6"/>
        <v>1019</v>
      </c>
      <c r="F20" s="71">
        <f t="shared" si="7"/>
        <v>30577</v>
      </c>
      <c r="G20" s="71">
        <f t="shared" si="7"/>
        <v>1019</v>
      </c>
      <c r="H20" s="71">
        <f t="shared" si="8"/>
        <v>30577</v>
      </c>
      <c r="I20" s="71">
        <f t="shared" si="8"/>
        <v>1019</v>
      </c>
      <c r="J20" s="80">
        <f t="shared" si="9"/>
        <v>2016</v>
      </c>
      <c r="K20" s="79">
        <f>IF('Start Page'!D55="N/A",0,'Start Page'!D55)</f>
        <v>0</v>
      </c>
    </row>
    <row r="21" spans="1:11" x14ac:dyDescent="0.2">
      <c r="A21" s="69" t="s">
        <v>52</v>
      </c>
      <c r="B21" s="71">
        <f t="shared" si="4"/>
        <v>33979</v>
      </c>
      <c r="C21" s="71">
        <f t="shared" si="5"/>
        <v>1133</v>
      </c>
      <c r="D21" s="71">
        <f t="shared" si="6"/>
        <v>33979</v>
      </c>
      <c r="E21" s="71">
        <f t="shared" si="6"/>
        <v>1133</v>
      </c>
      <c r="F21" s="71">
        <f t="shared" si="7"/>
        <v>33979</v>
      </c>
      <c r="G21" s="71">
        <f t="shared" si="7"/>
        <v>1133</v>
      </c>
      <c r="H21" s="71">
        <f t="shared" si="8"/>
        <v>33979</v>
      </c>
      <c r="I21" s="71">
        <f t="shared" si="8"/>
        <v>1133</v>
      </c>
      <c r="J21" s="80">
        <f t="shared" si="9"/>
        <v>2017</v>
      </c>
      <c r="K21" s="79">
        <f>IF('Start Page'!B56="N/A",0,'Start Page'!B56)</f>
        <v>0</v>
      </c>
    </row>
    <row r="22" spans="1:11" x14ac:dyDescent="0.2">
      <c r="A22" s="72" t="s">
        <v>53</v>
      </c>
      <c r="B22" s="71">
        <f t="shared" si="4"/>
        <v>37631</v>
      </c>
      <c r="C22" s="71">
        <f t="shared" si="5"/>
        <v>1254</v>
      </c>
      <c r="D22" s="71">
        <f t="shared" si="6"/>
        <v>37631</v>
      </c>
      <c r="E22" s="71">
        <f t="shared" si="6"/>
        <v>1254</v>
      </c>
      <c r="F22" s="71">
        <f t="shared" si="7"/>
        <v>37631</v>
      </c>
      <c r="G22" s="71">
        <f t="shared" si="7"/>
        <v>1254</v>
      </c>
      <c r="H22" s="71">
        <f t="shared" si="8"/>
        <v>37631</v>
      </c>
      <c r="I22" s="71">
        <f t="shared" si="8"/>
        <v>1254</v>
      </c>
      <c r="J22" s="80">
        <f t="shared" si="9"/>
        <v>2018</v>
      </c>
      <c r="K22" s="79">
        <f>IF('Start Page'!D56="N/A",0,'Start Page'!D56)</f>
        <v>0</v>
      </c>
    </row>
    <row r="23" spans="1:11" x14ac:dyDescent="0.2">
      <c r="A23" s="69" t="s">
        <v>54</v>
      </c>
      <c r="B23" s="71">
        <f t="shared" si="4"/>
        <v>41563</v>
      </c>
      <c r="C23" s="71">
        <f t="shared" si="5"/>
        <v>1385</v>
      </c>
      <c r="D23" s="71">
        <f t="shared" si="6"/>
        <v>41563</v>
      </c>
      <c r="E23" s="71">
        <f t="shared" si="6"/>
        <v>1385</v>
      </c>
      <c r="F23" s="71">
        <f t="shared" si="7"/>
        <v>41563</v>
      </c>
      <c r="G23" s="71">
        <f t="shared" si="7"/>
        <v>1385</v>
      </c>
      <c r="H23" s="71">
        <f t="shared" si="8"/>
        <v>41563</v>
      </c>
      <c r="I23" s="71">
        <f t="shared" si="8"/>
        <v>1385</v>
      </c>
      <c r="J23" s="80">
        <f t="shared" si="9"/>
        <v>2019</v>
      </c>
      <c r="K23" s="79">
        <f>IF('Start Page'!B57="N/A",0,'Start Page'!B57)</f>
        <v>0</v>
      </c>
    </row>
    <row r="24" spans="1:11" x14ac:dyDescent="0.2">
      <c r="A24" s="72" t="s">
        <v>55</v>
      </c>
      <c r="B24" s="71">
        <f t="shared" si="4"/>
        <v>45771</v>
      </c>
      <c r="C24" s="71">
        <f t="shared" si="5"/>
        <v>1526</v>
      </c>
      <c r="D24" s="71">
        <f t="shared" si="6"/>
        <v>45771</v>
      </c>
      <c r="E24" s="71">
        <f t="shared" si="6"/>
        <v>1526</v>
      </c>
      <c r="F24" s="71">
        <f t="shared" si="7"/>
        <v>45771</v>
      </c>
      <c r="G24" s="71">
        <f t="shared" si="7"/>
        <v>1526</v>
      </c>
      <c r="H24" s="71">
        <f t="shared" si="8"/>
        <v>45771</v>
      </c>
      <c r="I24" s="71">
        <f t="shared" si="8"/>
        <v>1526</v>
      </c>
      <c r="J24" s="80">
        <f t="shared" si="9"/>
        <v>2020</v>
      </c>
      <c r="K24" s="79">
        <f>IF('Start Page'!D57="N/A",0,'Start Page'!D57)</f>
        <v>0</v>
      </c>
    </row>
    <row r="25" spans="1:11" x14ac:dyDescent="0.2">
      <c r="A25" s="69" t="s">
        <v>56</v>
      </c>
      <c r="B25" s="71">
        <f t="shared" si="4"/>
        <v>50287</v>
      </c>
      <c r="C25" s="71">
        <f t="shared" si="5"/>
        <v>1676</v>
      </c>
      <c r="D25" s="71">
        <f t="shared" si="6"/>
        <v>50287</v>
      </c>
      <c r="E25" s="71">
        <f t="shared" si="6"/>
        <v>1676</v>
      </c>
      <c r="F25" s="71">
        <f t="shared" si="7"/>
        <v>50287</v>
      </c>
      <c r="G25" s="71">
        <f t="shared" si="7"/>
        <v>1676</v>
      </c>
      <c r="H25" s="71">
        <f t="shared" si="8"/>
        <v>50287</v>
      </c>
      <c r="I25" s="71">
        <f t="shared" si="8"/>
        <v>1676</v>
      </c>
      <c r="J25" s="70"/>
      <c r="K25" s="70"/>
    </row>
    <row r="26" spans="1:11" x14ac:dyDescent="0.2">
      <c r="A26" s="72" t="s">
        <v>57</v>
      </c>
      <c r="B26" s="71">
        <f t="shared" si="4"/>
        <v>60274</v>
      </c>
      <c r="C26" s="71">
        <f t="shared" si="5"/>
        <v>2009</v>
      </c>
      <c r="D26" s="71">
        <f t="shared" si="6"/>
        <v>60274</v>
      </c>
      <c r="E26" s="71">
        <f t="shared" si="6"/>
        <v>2009</v>
      </c>
      <c r="F26" s="71">
        <f t="shared" si="7"/>
        <v>60274</v>
      </c>
      <c r="G26" s="71">
        <f t="shared" si="7"/>
        <v>2009</v>
      </c>
      <c r="H26" s="71">
        <f t="shared" si="8"/>
        <v>60274</v>
      </c>
      <c r="I26" s="71">
        <f t="shared" si="8"/>
        <v>2009</v>
      </c>
      <c r="J26" s="73"/>
      <c r="K26" s="73"/>
    </row>
    <row r="27" spans="1:11" x14ac:dyDescent="0.2">
      <c r="A27" s="69" t="s">
        <v>58</v>
      </c>
      <c r="B27" s="71">
        <f t="shared" si="4"/>
        <v>71674</v>
      </c>
      <c r="C27" s="71">
        <f t="shared" si="5"/>
        <v>2389</v>
      </c>
      <c r="D27" s="71">
        <f>ROUND(B27+(B27*$K$22),0)</f>
        <v>71674</v>
      </c>
      <c r="E27" s="71">
        <f>ROUND(C27+(C27*$K$22),0)</f>
        <v>2389</v>
      </c>
      <c r="F27" s="71">
        <f>ROUND(D27+(D27*$K$23),0)</f>
        <v>71674</v>
      </c>
      <c r="G27" s="71">
        <f>ROUND(E27+(E27*$K$23),0)</f>
        <v>2389</v>
      </c>
      <c r="H27" s="71">
        <f>ROUND(F27+(F27*$K$24),0)</f>
        <v>71674</v>
      </c>
      <c r="I27" s="71">
        <f>ROUND(G27+(G27*$K$24),0)</f>
        <v>2389</v>
      </c>
      <c r="J27" s="73"/>
      <c r="K27" s="73"/>
    </row>
    <row r="28" spans="1:11" x14ac:dyDescent="0.2">
      <c r="A28" s="69" t="s">
        <v>160</v>
      </c>
      <c r="B28" s="71">
        <f t="shared" si="4"/>
        <v>84697</v>
      </c>
      <c r="C28" s="71">
        <f t="shared" si="5"/>
        <v>2823</v>
      </c>
      <c r="D28" s="71">
        <f t="shared" si="6"/>
        <v>84697</v>
      </c>
      <c r="E28" s="71">
        <f t="shared" si="6"/>
        <v>2823</v>
      </c>
      <c r="F28" s="71">
        <f t="shared" si="7"/>
        <v>84697</v>
      </c>
      <c r="G28" s="71">
        <f t="shared" si="7"/>
        <v>2823</v>
      </c>
      <c r="H28" s="71">
        <f t="shared" si="8"/>
        <v>84697</v>
      </c>
      <c r="I28" s="71">
        <f t="shared" si="8"/>
        <v>2823</v>
      </c>
      <c r="J28" s="70"/>
      <c r="K28" s="70"/>
    </row>
    <row r="30" spans="1:11" x14ac:dyDescent="0.2">
      <c r="A30" s="122" t="s">
        <v>40</v>
      </c>
    </row>
    <row r="31" spans="1:11" x14ac:dyDescent="0.2">
      <c r="A31" s="45">
        <v>84</v>
      </c>
    </row>
    <row r="32" spans="1:11" x14ac:dyDescent="0.2">
      <c r="A32" s="45">
        <v>72</v>
      </c>
    </row>
    <row r="33" spans="1:1" x14ac:dyDescent="0.2">
      <c r="A33" s="45">
        <v>60</v>
      </c>
    </row>
    <row r="34" spans="1:1" x14ac:dyDescent="0.2">
      <c r="A34" s="45">
        <v>56</v>
      </c>
    </row>
    <row r="35" spans="1:1" x14ac:dyDescent="0.2">
      <c r="A35" s="122" t="s">
        <v>101</v>
      </c>
    </row>
    <row r="36" spans="1:1" x14ac:dyDescent="0.2">
      <c r="A36" s="45">
        <v>26</v>
      </c>
    </row>
    <row r="37" spans="1:1" x14ac:dyDescent="0.2">
      <c r="A37" s="45">
        <v>27</v>
      </c>
    </row>
    <row r="38" spans="1:1" x14ac:dyDescent="0.2">
      <c r="A38" s="122" t="s">
        <v>134</v>
      </c>
    </row>
    <row r="39" spans="1:1" x14ac:dyDescent="0.2">
      <c r="A39" s="118" t="s">
        <v>147</v>
      </c>
    </row>
    <row r="40" spans="1:1" x14ac:dyDescent="0.2">
      <c r="A40" s="118" t="s">
        <v>148</v>
      </c>
    </row>
  </sheetData>
  <sheetProtection password="CCE4"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2" sqref="A2"/>
    </sheetView>
  </sheetViews>
  <sheetFormatPr defaultRowHeight="12.75" x14ac:dyDescent="0.2"/>
  <cols>
    <col min="1" max="11" width="9.140625" style="45"/>
  </cols>
  <sheetData>
    <row r="1" spans="1:11" s="1" customFormat="1" x14ac:dyDescent="0.2">
      <c r="A1" s="66"/>
      <c r="B1" s="66"/>
      <c r="C1" s="66"/>
      <c r="D1" s="66"/>
      <c r="E1" s="81" t="s">
        <v>61</v>
      </c>
      <c r="F1" s="66"/>
      <c r="G1" s="66"/>
      <c r="H1" s="6"/>
      <c r="I1" s="66"/>
      <c r="J1" s="66"/>
      <c r="K1" s="66"/>
    </row>
    <row r="2" spans="1:11" s="1" customFormat="1" ht="12.75" customHeight="1" x14ac:dyDescent="0.2">
      <c r="A2" s="2" t="s">
        <v>27</v>
      </c>
      <c r="B2" s="191" t="s">
        <v>28</v>
      </c>
      <c r="C2" s="192"/>
      <c r="D2" s="192"/>
      <c r="E2" s="192"/>
      <c r="F2" s="192"/>
      <c r="G2" s="192"/>
      <c r="H2" s="192"/>
      <c r="I2" s="192"/>
      <c r="J2" s="192"/>
      <c r="K2" s="193"/>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71">
        <f>'GS Pay Calculator'!H17</f>
        <v>21840</v>
      </c>
      <c r="C4" s="71">
        <f>B4+'GS Pay Calculator'!$I17</f>
        <v>22568</v>
      </c>
      <c r="D4" s="71">
        <f>C4+'GS Pay Calculator'!$I17</f>
        <v>23296</v>
      </c>
      <c r="E4" s="71">
        <f>D4+'GS Pay Calculator'!$I17</f>
        <v>24024</v>
      </c>
      <c r="F4" s="71">
        <f>E4+'GS Pay Calculator'!$I17</f>
        <v>24752</v>
      </c>
      <c r="G4" s="71">
        <f>F4+'GS Pay Calculator'!$I17</f>
        <v>25480</v>
      </c>
      <c r="H4" s="71">
        <f>G4+'GS Pay Calculator'!$I17</f>
        <v>26208</v>
      </c>
      <c r="I4" s="71">
        <f>H4+'GS Pay Calculator'!$I17</f>
        <v>26936</v>
      </c>
      <c r="J4" s="71">
        <f>I4+'GS Pay Calculator'!$I17</f>
        <v>27664</v>
      </c>
      <c r="K4" s="71">
        <f>J4+'GS Pay Calculator'!$I17</f>
        <v>28392</v>
      </c>
    </row>
    <row r="5" spans="1:11" s="1" customFormat="1" x14ac:dyDescent="0.2">
      <c r="A5" s="5">
        <v>4</v>
      </c>
      <c r="B5" s="71">
        <f>'GS Pay Calculator'!H18</f>
        <v>24518</v>
      </c>
      <c r="C5" s="71">
        <f>B5+'GS Pay Calculator'!$I18</f>
        <v>25335</v>
      </c>
      <c r="D5" s="71">
        <f>C5+'GS Pay Calculator'!$I18</f>
        <v>26152</v>
      </c>
      <c r="E5" s="71">
        <f>D5+'GS Pay Calculator'!$I18</f>
        <v>26969</v>
      </c>
      <c r="F5" s="71">
        <f>E5+'GS Pay Calculator'!$I18</f>
        <v>27786</v>
      </c>
      <c r="G5" s="71">
        <f>F5+'GS Pay Calculator'!$I18</f>
        <v>28603</v>
      </c>
      <c r="H5" s="71">
        <f>G5+'GS Pay Calculator'!$I18</f>
        <v>29420</v>
      </c>
      <c r="I5" s="71">
        <f>H5+'GS Pay Calculator'!$I18</f>
        <v>30237</v>
      </c>
      <c r="J5" s="71">
        <f>I5+'GS Pay Calculator'!$I18</f>
        <v>31054</v>
      </c>
      <c r="K5" s="71">
        <f>J5+'GS Pay Calculator'!$I18</f>
        <v>31871</v>
      </c>
    </row>
    <row r="6" spans="1:11" s="1" customFormat="1" x14ac:dyDescent="0.2">
      <c r="A6" s="5">
        <v>5</v>
      </c>
      <c r="B6" s="71">
        <f>'GS Pay Calculator'!H19</f>
        <v>27431</v>
      </c>
      <c r="C6" s="71">
        <f>B6+'GS Pay Calculator'!$I19</f>
        <v>28345</v>
      </c>
      <c r="D6" s="71">
        <f>C6+'GS Pay Calculator'!$I19</f>
        <v>29259</v>
      </c>
      <c r="E6" s="71">
        <f>D6+'GS Pay Calculator'!$I19</f>
        <v>30173</v>
      </c>
      <c r="F6" s="71">
        <f>E6+'GS Pay Calculator'!$I19</f>
        <v>31087</v>
      </c>
      <c r="G6" s="71">
        <f>F6+'GS Pay Calculator'!$I19</f>
        <v>32001</v>
      </c>
      <c r="H6" s="71">
        <f>G6+'GS Pay Calculator'!$I19</f>
        <v>32915</v>
      </c>
      <c r="I6" s="71">
        <f>H6+'GS Pay Calculator'!$I19</f>
        <v>33829</v>
      </c>
      <c r="J6" s="71">
        <f>I6+'GS Pay Calculator'!$I19</f>
        <v>34743</v>
      </c>
      <c r="K6" s="71">
        <f>J6+'GS Pay Calculator'!$I19</f>
        <v>35657</v>
      </c>
    </row>
    <row r="7" spans="1:11" s="1" customFormat="1" x14ac:dyDescent="0.2">
      <c r="A7" s="5">
        <v>6</v>
      </c>
      <c r="B7" s="71">
        <f>'GS Pay Calculator'!H20</f>
        <v>30577</v>
      </c>
      <c r="C7" s="71">
        <f>B7+'GS Pay Calculator'!$I20</f>
        <v>31596</v>
      </c>
      <c r="D7" s="71">
        <f>C7+'GS Pay Calculator'!$I20</f>
        <v>32615</v>
      </c>
      <c r="E7" s="71">
        <f>D7+'GS Pay Calculator'!$I20</f>
        <v>33634</v>
      </c>
      <c r="F7" s="71">
        <f>E7+'GS Pay Calculator'!$I20</f>
        <v>34653</v>
      </c>
      <c r="G7" s="71">
        <f>F7+'GS Pay Calculator'!$I20</f>
        <v>35672</v>
      </c>
      <c r="H7" s="71">
        <f>G7+'GS Pay Calculator'!$I20</f>
        <v>36691</v>
      </c>
      <c r="I7" s="71">
        <f>H7+'GS Pay Calculator'!$I20</f>
        <v>37710</v>
      </c>
      <c r="J7" s="71">
        <f>I7+'GS Pay Calculator'!$I20</f>
        <v>38729</v>
      </c>
      <c r="K7" s="71">
        <f>J7+'GS Pay Calculator'!$I20</f>
        <v>39748</v>
      </c>
    </row>
    <row r="8" spans="1:11" s="1" customFormat="1" x14ac:dyDescent="0.2">
      <c r="A8" s="5">
        <v>7</v>
      </c>
      <c r="B8" s="71">
        <f>'GS Pay Calculator'!H21</f>
        <v>33979</v>
      </c>
      <c r="C8" s="71">
        <f>B8+'GS Pay Calculator'!$I21</f>
        <v>35112</v>
      </c>
      <c r="D8" s="71">
        <f>C8+'GS Pay Calculator'!$I21</f>
        <v>36245</v>
      </c>
      <c r="E8" s="71">
        <f>D8+'GS Pay Calculator'!$I21</f>
        <v>37378</v>
      </c>
      <c r="F8" s="71">
        <f>E8+'GS Pay Calculator'!$I21</f>
        <v>38511</v>
      </c>
      <c r="G8" s="71">
        <f>F8+'GS Pay Calculator'!$I21</f>
        <v>39644</v>
      </c>
      <c r="H8" s="71">
        <f>G8+'GS Pay Calculator'!$I21</f>
        <v>40777</v>
      </c>
      <c r="I8" s="71">
        <f>H8+'GS Pay Calculator'!$I21</f>
        <v>41910</v>
      </c>
      <c r="J8" s="71">
        <f>I8+'GS Pay Calculator'!$I21</f>
        <v>43043</v>
      </c>
      <c r="K8" s="71">
        <f>J8+'GS Pay Calculator'!$I21</f>
        <v>44176</v>
      </c>
    </row>
    <row r="9" spans="1:11" s="1" customFormat="1" x14ac:dyDescent="0.2">
      <c r="A9" s="5">
        <v>8</v>
      </c>
      <c r="B9" s="71">
        <f>'GS Pay Calculator'!H22</f>
        <v>37631</v>
      </c>
      <c r="C9" s="71">
        <f>B9+'GS Pay Calculator'!$I22</f>
        <v>38885</v>
      </c>
      <c r="D9" s="71">
        <f>C9+'GS Pay Calculator'!$I22</f>
        <v>40139</v>
      </c>
      <c r="E9" s="71">
        <f>D9+'GS Pay Calculator'!$I22</f>
        <v>41393</v>
      </c>
      <c r="F9" s="71">
        <f>E9+'GS Pay Calculator'!$I22</f>
        <v>42647</v>
      </c>
      <c r="G9" s="71">
        <f>F9+'GS Pay Calculator'!$I22</f>
        <v>43901</v>
      </c>
      <c r="H9" s="71">
        <f>G9+'GS Pay Calculator'!$I22</f>
        <v>45155</v>
      </c>
      <c r="I9" s="71">
        <f>H9+'GS Pay Calculator'!$I22</f>
        <v>46409</v>
      </c>
      <c r="J9" s="71">
        <f>I9+'GS Pay Calculator'!$I22</f>
        <v>47663</v>
      </c>
      <c r="K9" s="71">
        <f>J9+'GS Pay Calculator'!$I22</f>
        <v>48917</v>
      </c>
    </row>
    <row r="10" spans="1:11" s="1" customFormat="1" x14ac:dyDescent="0.2">
      <c r="A10" s="5">
        <v>9</v>
      </c>
      <c r="B10" s="71">
        <f>'GS Pay Calculator'!H23</f>
        <v>41563</v>
      </c>
      <c r="C10" s="71">
        <f>B10+'GS Pay Calculator'!$I23</f>
        <v>42948</v>
      </c>
      <c r="D10" s="71">
        <f>C10+'GS Pay Calculator'!$I23</f>
        <v>44333</v>
      </c>
      <c r="E10" s="71">
        <f>D10+'GS Pay Calculator'!$I23</f>
        <v>45718</v>
      </c>
      <c r="F10" s="71">
        <f>E10+'GS Pay Calculator'!$I23</f>
        <v>47103</v>
      </c>
      <c r="G10" s="71">
        <f>F10+'GS Pay Calculator'!$I23</f>
        <v>48488</v>
      </c>
      <c r="H10" s="71">
        <f>G10+'GS Pay Calculator'!$I23</f>
        <v>49873</v>
      </c>
      <c r="I10" s="71">
        <f>H10+'GS Pay Calculator'!$I23</f>
        <v>51258</v>
      </c>
      <c r="J10" s="71">
        <f>I10+'GS Pay Calculator'!$I23</f>
        <v>52643</v>
      </c>
      <c r="K10" s="71">
        <f>J10+'GS Pay Calculator'!$I23</f>
        <v>54028</v>
      </c>
    </row>
    <row r="11" spans="1:11" s="1" customFormat="1" x14ac:dyDescent="0.2">
      <c r="A11" s="5">
        <v>10</v>
      </c>
      <c r="B11" s="71">
        <f>'GS Pay Calculator'!H24</f>
        <v>45771</v>
      </c>
      <c r="C11" s="71">
        <f>B11+'GS Pay Calculator'!$I24</f>
        <v>47297</v>
      </c>
      <c r="D11" s="71">
        <f>C11+'GS Pay Calculator'!$I24</f>
        <v>48823</v>
      </c>
      <c r="E11" s="71">
        <f>D11+'GS Pay Calculator'!$I24</f>
        <v>50349</v>
      </c>
      <c r="F11" s="71">
        <f>E11+'GS Pay Calculator'!$I24</f>
        <v>51875</v>
      </c>
      <c r="G11" s="71">
        <f>F11+'GS Pay Calculator'!$I24</f>
        <v>53401</v>
      </c>
      <c r="H11" s="71">
        <f>G11+'GS Pay Calculator'!$I24</f>
        <v>54927</v>
      </c>
      <c r="I11" s="71">
        <f>H11+'GS Pay Calculator'!$I24</f>
        <v>56453</v>
      </c>
      <c r="J11" s="71">
        <f>I11+'GS Pay Calculator'!$I24</f>
        <v>57979</v>
      </c>
      <c r="K11" s="71">
        <f>J11+'GS Pay Calculator'!$I24</f>
        <v>59505</v>
      </c>
    </row>
    <row r="12" spans="1:11" s="1" customFormat="1" x14ac:dyDescent="0.2">
      <c r="A12" s="5">
        <v>11</v>
      </c>
      <c r="B12" s="71">
        <f>'GS Pay Calculator'!H25</f>
        <v>50287</v>
      </c>
      <c r="C12" s="71">
        <f>B12+'GS Pay Calculator'!$I25</f>
        <v>51963</v>
      </c>
      <c r="D12" s="71">
        <f>C12+'GS Pay Calculator'!$I25</f>
        <v>53639</v>
      </c>
      <c r="E12" s="71">
        <f>D12+'GS Pay Calculator'!$I25</f>
        <v>55315</v>
      </c>
      <c r="F12" s="71">
        <f>E12+'GS Pay Calculator'!$I25</f>
        <v>56991</v>
      </c>
      <c r="G12" s="71">
        <f>F12+'GS Pay Calculator'!$I25</f>
        <v>58667</v>
      </c>
      <c r="H12" s="71">
        <f>G12+'GS Pay Calculator'!$I25</f>
        <v>60343</v>
      </c>
      <c r="I12" s="71">
        <f>H12+'GS Pay Calculator'!$I25</f>
        <v>62019</v>
      </c>
      <c r="J12" s="71">
        <f>I12+'GS Pay Calculator'!$I25</f>
        <v>63695</v>
      </c>
      <c r="K12" s="71">
        <f>J12+'GS Pay Calculator'!$I25</f>
        <v>65371</v>
      </c>
    </row>
    <row r="13" spans="1:11" s="1" customFormat="1" x14ac:dyDescent="0.2">
      <c r="A13" s="5">
        <v>12</v>
      </c>
      <c r="B13" s="71">
        <f>'GS Pay Calculator'!H26</f>
        <v>60274</v>
      </c>
      <c r="C13" s="71">
        <f>B13+'GS Pay Calculator'!$I26</f>
        <v>62283</v>
      </c>
      <c r="D13" s="71">
        <f>C13+'GS Pay Calculator'!$I26</f>
        <v>64292</v>
      </c>
      <c r="E13" s="71">
        <f>D13+'GS Pay Calculator'!$I26</f>
        <v>66301</v>
      </c>
      <c r="F13" s="71">
        <f>E13+'GS Pay Calculator'!$I26</f>
        <v>68310</v>
      </c>
      <c r="G13" s="71">
        <f>F13+'GS Pay Calculator'!$I26</f>
        <v>70319</v>
      </c>
      <c r="H13" s="71">
        <f>G13+'GS Pay Calculator'!$I26</f>
        <v>72328</v>
      </c>
      <c r="I13" s="71">
        <f>H13+'GS Pay Calculator'!$I26</f>
        <v>74337</v>
      </c>
      <c r="J13" s="71">
        <f>I13+'GS Pay Calculator'!$I26</f>
        <v>76346</v>
      </c>
      <c r="K13" s="71">
        <f>J13+'GS Pay Calculator'!$I26</f>
        <v>78355</v>
      </c>
    </row>
    <row r="14" spans="1:11" s="1" customFormat="1" x14ac:dyDescent="0.2">
      <c r="A14" s="5">
        <v>13</v>
      </c>
      <c r="B14" s="71">
        <f>'GS Pay Calculator'!H27</f>
        <v>71674</v>
      </c>
      <c r="C14" s="71">
        <f>B14+'GS Pay Calculator'!$I27</f>
        <v>74063</v>
      </c>
      <c r="D14" s="71">
        <f>C14+'GS Pay Calculator'!$I27</f>
        <v>76452</v>
      </c>
      <c r="E14" s="71">
        <f>D14+'GS Pay Calculator'!$I27</f>
        <v>78841</v>
      </c>
      <c r="F14" s="71">
        <f>E14+'GS Pay Calculator'!$I27</f>
        <v>81230</v>
      </c>
      <c r="G14" s="71">
        <f>F14+'GS Pay Calculator'!$I27</f>
        <v>83619</v>
      </c>
      <c r="H14" s="71">
        <f>G14+'GS Pay Calculator'!$I27</f>
        <v>86008</v>
      </c>
      <c r="I14" s="71">
        <f>H14+'GS Pay Calculator'!$I27</f>
        <v>88397</v>
      </c>
      <c r="J14" s="71">
        <f>I14+'GS Pay Calculator'!$I27</f>
        <v>90786</v>
      </c>
      <c r="K14" s="71">
        <f>J14+'GS Pay Calculator'!$I27</f>
        <v>93175</v>
      </c>
    </row>
    <row r="15" spans="1:11" s="1" customFormat="1" x14ac:dyDescent="0.2">
      <c r="A15" s="5">
        <v>14</v>
      </c>
      <c r="B15" s="71">
        <f>'GS Pay Calculator'!H28</f>
        <v>84697</v>
      </c>
      <c r="C15" s="71">
        <f>B15+'GS Pay Calculator'!$I28</f>
        <v>87520</v>
      </c>
      <c r="D15" s="71">
        <f>C15+'GS Pay Calculator'!$I28</f>
        <v>90343</v>
      </c>
      <c r="E15" s="71">
        <f>D15+'GS Pay Calculator'!$I28</f>
        <v>93166</v>
      </c>
      <c r="F15" s="71">
        <f>E15+'GS Pay Calculator'!$I28</f>
        <v>95989</v>
      </c>
      <c r="G15" s="71">
        <f>F15+'GS Pay Calculator'!$I28</f>
        <v>98812</v>
      </c>
      <c r="H15" s="71">
        <f>G15+'GS Pay Calculator'!$I28</f>
        <v>101635</v>
      </c>
      <c r="I15" s="71">
        <f>H15+'GS Pay Calculator'!$I28</f>
        <v>104458</v>
      </c>
      <c r="J15" s="71">
        <f>I15+'GS Pay Calculator'!$I28</f>
        <v>107281</v>
      </c>
      <c r="K15" s="71">
        <f>J15+'GS Pay Calculator'!$I28</f>
        <v>110104</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showGridLines="0" topLeftCell="A19" zoomScaleNormal="100" workbookViewId="0">
      <selection activeCell="B2" sqref="B2"/>
    </sheetView>
  </sheetViews>
  <sheetFormatPr defaultRowHeight="12.75" x14ac:dyDescent="0.2"/>
  <cols>
    <col min="1" max="1" width="50.5703125" customWidth="1"/>
    <col min="2" max="6" width="15.7109375" customWidth="1"/>
  </cols>
  <sheetData>
    <row r="1" spans="1:6" ht="15" customHeight="1" x14ac:dyDescent="0.2">
      <c r="A1" s="116" t="s">
        <v>158</v>
      </c>
      <c r="B1" s="116" t="s">
        <v>159</v>
      </c>
      <c r="C1" s="159" t="s">
        <v>133</v>
      </c>
      <c r="D1" s="161" t="s">
        <v>149</v>
      </c>
      <c r="E1" s="161" t="s">
        <v>150</v>
      </c>
      <c r="F1" s="161" t="s">
        <v>151</v>
      </c>
    </row>
    <row r="2" spans="1:6" ht="15" customHeight="1" x14ac:dyDescent="0.2">
      <c r="A2" s="117" t="s">
        <v>123</v>
      </c>
      <c r="B2" s="87">
        <v>0.1416</v>
      </c>
      <c r="C2" s="88">
        <f t="shared" ref="C2:C37" si="0">IF((E2+F2)&gt;0.25,0.25,E2+F2)</f>
        <v>0</v>
      </c>
      <c r="D2" s="88">
        <v>0</v>
      </c>
      <c r="E2" s="160">
        <f t="shared" ref="E2:E43" si="1">IF((ROUND(D2-(B2*0.65),4)/(1+B2))&lt;0,0,ROUND(D2-(B2*0.65),4)/(1+B2))</f>
        <v>0</v>
      </c>
      <c r="F2" s="160">
        <v>0</v>
      </c>
    </row>
    <row r="3" spans="1:6" ht="15" customHeight="1" x14ac:dyDescent="0.2">
      <c r="A3" s="117" t="s">
        <v>154</v>
      </c>
      <c r="B3" s="88">
        <v>0.24690000000000001</v>
      </c>
      <c r="C3" s="88">
        <f t="shared" si="0"/>
        <v>5.5738230812414788E-2</v>
      </c>
      <c r="D3" s="160">
        <v>0.23</v>
      </c>
      <c r="E3" s="160">
        <f>IF((ROUND(D3-(B3*0.65),4)/(1+B3))&lt;0,0,ROUND(D3-(B3*0.65),4)/(1+B3))</f>
        <v>5.5738230812414788E-2</v>
      </c>
      <c r="F3" s="160">
        <v>0</v>
      </c>
    </row>
    <row r="4" spans="1:6" ht="15" customHeight="1" x14ac:dyDescent="0.2">
      <c r="A4" s="117" t="s">
        <v>155</v>
      </c>
      <c r="B4" s="88">
        <v>0.24690000000000001</v>
      </c>
      <c r="C4" s="88">
        <f t="shared" si="0"/>
        <v>7.1778009463469392E-2</v>
      </c>
      <c r="D4" s="88">
        <v>0.25</v>
      </c>
      <c r="E4" s="88">
        <f>IF((ROUND(D4-(B4*0.65),4)/(1+B4))&lt;0,0,ROUND(D4-(B4*0.65),4)/(1+B4))</f>
        <v>7.1778009463469392E-2</v>
      </c>
      <c r="F4" s="88">
        <v>0</v>
      </c>
    </row>
    <row r="5" spans="1:6" ht="15" customHeight="1" x14ac:dyDescent="0.2">
      <c r="A5" s="117" t="s">
        <v>63</v>
      </c>
      <c r="B5" s="87">
        <v>0.19289999999999999</v>
      </c>
      <c r="C5" s="88">
        <f t="shared" si="0"/>
        <v>0</v>
      </c>
      <c r="D5" s="88">
        <v>0</v>
      </c>
      <c r="E5" s="160">
        <f t="shared" si="1"/>
        <v>0</v>
      </c>
      <c r="F5" s="160">
        <v>0</v>
      </c>
    </row>
    <row r="6" spans="1:6" ht="15" customHeight="1" x14ac:dyDescent="0.2">
      <c r="A6" s="117" t="s">
        <v>64</v>
      </c>
      <c r="B6" s="88">
        <v>0.248</v>
      </c>
      <c r="C6" s="88">
        <f t="shared" si="0"/>
        <v>0</v>
      </c>
      <c r="D6" s="88">
        <v>0</v>
      </c>
      <c r="E6" s="160">
        <f t="shared" si="1"/>
        <v>0</v>
      </c>
      <c r="F6" s="160">
        <v>0</v>
      </c>
    </row>
    <row r="7" spans="1:6" ht="15" customHeight="1" x14ac:dyDescent="0.2">
      <c r="A7" s="117" t="s">
        <v>65</v>
      </c>
      <c r="B7" s="88">
        <v>0.16980000000000001</v>
      </c>
      <c r="C7" s="88">
        <f t="shared" si="0"/>
        <v>0</v>
      </c>
      <c r="D7" s="88">
        <v>0</v>
      </c>
      <c r="E7" s="160">
        <f t="shared" si="1"/>
        <v>0</v>
      </c>
      <c r="F7" s="160">
        <v>0</v>
      </c>
    </row>
    <row r="8" spans="1:6" ht="15" customHeight="1" x14ac:dyDescent="0.2">
      <c r="A8" s="117" t="s">
        <v>66</v>
      </c>
      <c r="B8" s="88">
        <v>0.251</v>
      </c>
      <c r="C8" s="88">
        <f t="shared" si="0"/>
        <v>0</v>
      </c>
      <c r="D8" s="88">
        <v>0</v>
      </c>
      <c r="E8" s="160">
        <f t="shared" si="1"/>
        <v>0</v>
      </c>
      <c r="F8" s="160">
        <v>0</v>
      </c>
    </row>
    <row r="9" spans="1:6" ht="15" customHeight="1" x14ac:dyDescent="0.2">
      <c r="A9" s="117" t="s">
        <v>67</v>
      </c>
      <c r="B9" s="88">
        <v>0.1855</v>
      </c>
      <c r="C9" s="88">
        <f t="shared" si="0"/>
        <v>0</v>
      </c>
      <c r="D9" s="88">
        <v>0</v>
      </c>
      <c r="E9" s="160">
        <f t="shared" si="1"/>
        <v>0</v>
      </c>
      <c r="F9" s="160">
        <v>0</v>
      </c>
    </row>
    <row r="10" spans="1:6" ht="15" customHeight="1" x14ac:dyDescent="0.2">
      <c r="A10" s="117" t="s">
        <v>68</v>
      </c>
      <c r="B10" s="88">
        <v>0.18679999999999999</v>
      </c>
      <c r="C10" s="88">
        <f t="shared" si="0"/>
        <v>0</v>
      </c>
      <c r="D10" s="88">
        <v>0</v>
      </c>
      <c r="E10" s="160">
        <f t="shared" si="1"/>
        <v>0</v>
      </c>
      <c r="F10" s="160">
        <v>0</v>
      </c>
    </row>
    <row r="11" spans="1:6" ht="15" customHeight="1" x14ac:dyDescent="0.2">
      <c r="A11" s="117" t="s">
        <v>69</v>
      </c>
      <c r="B11" s="88">
        <v>0.1716</v>
      </c>
      <c r="C11" s="88">
        <f t="shared" si="0"/>
        <v>0</v>
      </c>
      <c r="D11" s="88">
        <v>0</v>
      </c>
      <c r="E11" s="160">
        <f t="shared" si="1"/>
        <v>0</v>
      </c>
      <c r="F11" s="160">
        <v>0</v>
      </c>
    </row>
    <row r="12" spans="1:6" ht="15" customHeight="1" x14ac:dyDescent="0.2">
      <c r="A12" s="117" t="s">
        <v>70</v>
      </c>
      <c r="B12" s="88">
        <v>0.20669999999999999</v>
      </c>
      <c r="C12" s="88">
        <f t="shared" si="0"/>
        <v>0</v>
      </c>
      <c r="D12" s="88">
        <v>0</v>
      </c>
      <c r="E12" s="160">
        <f t="shared" si="1"/>
        <v>0</v>
      </c>
      <c r="F12" s="160">
        <v>0</v>
      </c>
    </row>
    <row r="13" spans="1:6" ht="15" customHeight="1" x14ac:dyDescent="0.2">
      <c r="A13" s="117" t="s">
        <v>71</v>
      </c>
      <c r="B13" s="88">
        <v>0.16239999999999999</v>
      </c>
      <c r="C13" s="88">
        <f t="shared" si="0"/>
        <v>0</v>
      </c>
      <c r="D13" s="88">
        <v>0</v>
      </c>
      <c r="E13" s="160">
        <f t="shared" si="1"/>
        <v>0</v>
      </c>
      <c r="F13" s="160">
        <v>0</v>
      </c>
    </row>
    <row r="14" spans="1:6" ht="15" customHeight="1" x14ac:dyDescent="0.2">
      <c r="A14" s="117" t="s">
        <v>72</v>
      </c>
      <c r="B14" s="88">
        <v>0.22520000000000001</v>
      </c>
      <c r="C14" s="88">
        <f t="shared" si="0"/>
        <v>0</v>
      </c>
      <c r="D14" s="88">
        <v>0</v>
      </c>
      <c r="E14" s="160">
        <f t="shared" si="1"/>
        <v>0</v>
      </c>
      <c r="F14" s="160">
        <v>0</v>
      </c>
    </row>
    <row r="15" spans="1:6" ht="15" customHeight="1" x14ac:dyDescent="0.2">
      <c r="A15" s="117" t="s">
        <v>73</v>
      </c>
      <c r="B15" s="88">
        <v>0.2409</v>
      </c>
      <c r="C15" s="88">
        <f t="shared" si="0"/>
        <v>0</v>
      </c>
      <c r="D15" s="88">
        <v>0</v>
      </c>
      <c r="E15" s="160">
        <f t="shared" si="1"/>
        <v>0</v>
      </c>
      <c r="F15" s="160">
        <v>0</v>
      </c>
    </row>
    <row r="16" spans="1:6" ht="15" customHeight="1" x14ac:dyDescent="0.2">
      <c r="A16" s="117" t="s">
        <v>74</v>
      </c>
      <c r="B16" s="88">
        <v>0.25819999999999999</v>
      </c>
      <c r="C16" s="88">
        <f t="shared" si="0"/>
        <v>0</v>
      </c>
      <c r="D16" s="88">
        <v>0</v>
      </c>
      <c r="E16" s="160">
        <f t="shared" si="1"/>
        <v>0</v>
      </c>
      <c r="F16" s="160">
        <v>0</v>
      </c>
    </row>
    <row r="17" spans="1:6" ht="15" customHeight="1" x14ac:dyDescent="0.2">
      <c r="A17" s="117" t="s">
        <v>157</v>
      </c>
      <c r="B17" s="88">
        <v>0.1651</v>
      </c>
      <c r="C17" s="88">
        <f t="shared" si="0"/>
        <v>0.12247875718822418</v>
      </c>
      <c r="D17" s="88">
        <v>0.25</v>
      </c>
      <c r="E17" s="88">
        <f>IF((ROUND(D17-(B17*0.65),4)/(1+B17))&lt;0,0,ROUND(D17-(B17*0.65),4)/(1+B17))</f>
        <v>0.12247875718822418</v>
      </c>
      <c r="F17" s="88">
        <v>0</v>
      </c>
    </row>
    <row r="18" spans="1:6" ht="15" customHeight="1" x14ac:dyDescent="0.2">
      <c r="A18" s="117" t="s">
        <v>156</v>
      </c>
      <c r="B18" s="88">
        <v>0.1651</v>
      </c>
      <c r="C18" s="88">
        <f>IF((E18+F18)&gt;0.25,0.25,E18+F18)</f>
        <v>6.2398077418247357E-2</v>
      </c>
      <c r="D18" s="88">
        <v>0.18</v>
      </c>
      <c r="E18" s="88">
        <f>IF((ROUND(D18-(B18*0.65),4)/(1+B18))&lt;0,0,ROUND(D18-(B18*0.65),4)/(1+B18))</f>
        <v>6.2398077418247357E-2</v>
      </c>
      <c r="F18" s="88">
        <v>0</v>
      </c>
    </row>
    <row r="19" spans="1:6" ht="15" customHeight="1" x14ac:dyDescent="0.2">
      <c r="A19" s="117" t="s">
        <v>75</v>
      </c>
      <c r="B19" s="88">
        <v>0.28710000000000002</v>
      </c>
      <c r="C19" s="88">
        <f t="shared" si="0"/>
        <v>0</v>
      </c>
      <c r="D19" s="88">
        <v>0</v>
      </c>
      <c r="E19" s="160">
        <f t="shared" si="1"/>
        <v>0</v>
      </c>
      <c r="F19" s="160">
        <v>0</v>
      </c>
    </row>
    <row r="20" spans="1:6" ht="15" customHeight="1" x14ac:dyDescent="0.2">
      <c r="A20" s="117" t="s">
        <v>76</v>
      </c>
      <c r="B20" s="88">
        <v>0.16020000000000001</v>
      </c>
      <c r="C20" s="88">
        <f t="shared" si="0"/>
        <v>0</v>
      </c>
      <c r="D20" s="88">
        <v>0</v>
      </c>
      <c r="E20" s="160">
        <f t="shared" si="1"/>
        <v>0</v>
      </c>
      <c r="F20" s="160">
        <v>0</v>
      </c>
    </row>
    <row r="21" spans="1:6" ht="15" customHeight="1" x14ac:dyDescent="0.2">
      <c r="A21" s="117" t="s">
        <v>77</v>
      </c>
      <c r="B21" s="88">
        <v>0.14680000000000001</v>
      </c>
      <c r="C21" s="88">
        <f t="shared" si="0"/>
        <v>0</v>
      </c>
      <c r="D21" s="88">
        <v>0</v>
      </c>
      <c r="E21" s="160">
        <f t="shared" si="1"/>
        <v>0</v>
      </c>
      <c r="F21" s="160">
        <v>0</v>
      </c>
    </row>
    <row r="22" spans="1:6" ht="15" customHeight="1" x14ac:dyDescent="0.2">
      <c r="A22" s="117" t="s">
        <v>78</v>
      </c>
      <c r="B22" s="88">
        <v>0.27160000000000001</v>
      </c>
      <c r="C22" s="88">
        <f t="shared" si="0"/>
        <v>0</v>
      </c>
      <c r="D22" s="88">
        <v>0</v>
      </c>
      <c r="E22" s="160">
        <f t="shared" si="1"/>
        <v>0</v>
      </c>
      <c r="F22" s="160">
        <v>0</v>
      </c>
    </row>
    <row r="23" spans="1:6" ht="15" customHeight="1" x14ac:dyDescent="0.2">
      <c r="A23" s="117" t="s">
        <v>79</v>
      </c>
      <c r="B23" s="88">
        <v>0.2079</v>
      </c>
      <c r="C23" s="88">
        <f t="shared" si="0"/>
        <v>0</v>
      </c>
      <c r="D23" s="88">
        <v>0</v>
      </c>
      <c r="E23" s="160">
        <f t="shared" si="1"/>
        <v>0</v>
      </c>
      <c r="F23" s="160">
        <v>0</v>
      </c>
    </row>
    <row r="24" spans="1:6" ht="15" customHeight="1" x14ac:dyDescent="0.2">
      <c r="A24" s="117" t="s">
        <v>80</v>
      </c>
      <c r="B24" s="88">
        <v>0.18099999999999999</v>
      </c>
      <c r="C24" s="88">
        <f t="shared" si="0"/>
        <v>0</v>
      </c>
      <c r="D24" s="88">
        <v>0</v>
      </c>
      <c r="E24" s="160">
        <f t="shared" si="1"/>
        <v>0</v>
      </c>
      <c r="F24" s="160">
        <v>0</v>
      </c>
    </row>
    <row r="25" spans="1:6" ht="15" customHeight="1" x14ac:dyDescent="0.2">
      <c r="A25" s="117" t="s">
        <v>81</v>
      </c>
      <c r="B25" s="88">
        <v>0.20960000000000001</v>
      </c>
      <c r="C25" s="88">
        <f t="shared" si="0"/>
        <v>0</v>
      </c>
      <c r="D25" s="88">
        <v>0</v>
      </c>
      <c r="E25" s="160">
        <f t="shared" si="1"/>
        <v>0</v>
      </c>
      <c r="F25" s="160">
        <v>0</v>
      </c>
    </row>
    <row r="26" spans="1:6" ht="15" customHeight="1" x14ac:dyDescent="0.2">
      <c r="A26" s="117" t="s">
        <v>82</v>
      </c>
      <c r="B26" s="88">
        <v>0.28720000000000001</v>
      </c>
      <c r="C26" s="88">
        <f t="shared" si="0"/>
        <v>0</v>
      </c>
      <c r="D26" s="88">
        <v>0</v>
      </c>
      <c r="E26" s="160">
        <f t="shared" si="1"/>
        <v>0</v>
      </c>
      <c r="F26" s="160">
        <v>0</v>
      </c>
    </row>
    <row r="27" spans="1:6" ht="15" customHeight="1" x14ac:dyDescent="0.2">
      <c r="A27" s="117" t="s">
        <v>83</v>
      </c>
      <c r="B27" s="88">
        <v>0.21790000000000001</v>
      </c>
      <c r="C27" s="88">
        <f t="shared" si="0"/>
        <v>0</v>
      </c>
      <c r="D27" s="88">
        <v>0</v>
      </c>
      <c r="E27" s="160">
        <f t="shared" si="1"/>
        <v>0</v>
      </c>
      <c r="F27" s="160">
        <v>0</v>
      </c>
    </row>
    <row r="28" spans="1:6" ht="15" customHeight="1" x14ac:dyDescent="0.2">
      <c r="A28" s="117" t="s">
        <v>84</v>
      </c>
      <c r="B28" s="88">
        <v>0.1676</v>
      </c>
      <c r="C28" s="88">
        <f t="shared" si="0"/>
        <v>0</v>
      </c>
      <c r="D28" s="88">
        <v>0</v>
      </c>
      <c r="E28" s="160">
        <f t="shared" si="1"/>
        <v>0</v>
      </c>
      <c r="F28" s="160">
        <v>0</v>
      </c>
    </row>
    <row r="29" spans="1:6" ht="15" customHeight="1" x14ac:dyDescent="0.2">
      <c r="A29" s="117" t="s">
        <v>85</v>
      </c>
      <c r="B29" s="88">
        <v>0.16370000000000001</v>
      </c>
      <c r="C29" s="88">
        <f t="shared" si="0"/>
        <v>0</v>
      </c>
      <c r="D29" s="88">
        <v>0</v>
      </c>
      <c r="E29" s="160">
        <f t="shared" si="1"/>
        <v>0</v>
      </c>
      <c r="F29" s="160">
        <v>0</v>
      </c>
    </row>
    <row r="30" spans="1:6" ht="15" customHeight="1" x14ac:dyDescent="0.2">
      <c r="A30" s="117" t="s">
        <v>86</v>
      </c>
      <c r="B30" s="88">
        <v>0.20349999999999999</v>
      </c>
      <c r="C30" s="88">
        <f t="shared" si="0"/>
        <v>0</v>
      </c>
      <c r="D30" s="88">
        <v>0</v>
      </c>
      <c r="E30" s="160">
        <f t="shared" si="1"/>
        <v>0</v>
      </c>
      <c r="F30" s="160">
        <v>0</v>
      </c>
    </row>
    <row r="31" spans="1:6" ht="15" customHeight="1" x14ac:dyDescent="0.2">
      <c r="A31" s="117" t="s">
        <v>87</v>
      </c>
      <c r="B31" s="88">
        <v>0.1764</v>
      </c>
      <c r="C31" s="88">
        <f t="shared" si="0"/>
        <v>0</v>
      </c>
      <c r="D31" s="88">
        <v>0</v>
      </c>
      <c r="E31" s="160">
        <f t="shared" si="1"/>
        <v>0</v>
      </c>
      <c r="F31" s="160">
        <v>0</v>
      </c>
    </row>
    <row r="32" spans="1:6" ht="15" customHeight="1" x14ac:dyDescent="0.2">
      <c r="A32" s="117" t="s">
        <v>88</v>
      </c>
      <c r="B32" s="88">
        <v>0.16470000000000001</v>
      </c>
      <c r="C32" s="88">
        <f t="shared" si="0"/>
        <v>0</v>
      </c>
      <c r="D32" s="88">
        <v>0</v>
      </c>
      <c r="E32" s="160">
        <f t="shared" si="1"/>
        <v>0</v>
      </c>
      <c r="F32" s="160">
        <v>0</v>
      </c>
    </row>
    <row r="33" spans="1:6" ht="15" customHeight="1" x14ac:dyDescent="0.2">
      <c r="A33" s="117" t="s">
        <v>89</v>
      </c>
      <c r="B33" s="88">
        <v>0.222</v>
      </c>
      <c r="C33" s="88">
        <f t="shared" si="0"/>
        <v>0</v>
      </c>
      <c r="D33" s="88">
        <v>0</v>
      </c>
      <c r="E33" s="160">
        <f t="shared" si="1"/>
        <v>0</v>
      </c>
      <c r="F33" s="160">
        <v>0</v>
      </c>
    </row>
    <row r="34" spans="1:6" ht="15" customHeight="1" x14ac:dyDescent="0.2">
      <c r="A34" s="117" t="s">
        <v>90</v>
      </c>
      <c r="B34" s="88">
        <v>0.2419</v>
      </c>
      <c r="C34" s="88">
        <f t="shared" si="0"/>
        <v>0</v>
      </c>
      <c r="D34" s="88">
        <v>0</v>
      </c>
      <c r="E34" s="160">
        <f t="shared" si="1"/>
        <v>0</v>
      </c>
      <c r="F34" s="160">
        <v>0</v>
      </c>
    </row>
    <row r="35" spans="1:6" ht="15" customHeight="1" x14ac:dyDescent="0.2">
      <c r="A35" s="117" t="s">
        <v>91</v>
      </c>
      <c r="B35" s="88">
        <v>0.35149999999999998</v>
      </c>
      <c r="C35" s="88">
        <f t="shared" si="0"/>
        <v>0</v>
      </c>
      <c r="D35" s="88">
        <v>0</v>
      </c>
      <c r="E35" s="160">
        <f t="shared" si="1"/>
        <v>0</v>
      </c>
      <c r="F35" s="160">
        <v>0</v>
      </c>
    </row>
    <row r="36" spans="1:6" ht="15" customHeight="1" x14ac:dyDescent="0.2">
      <c r="A36" s="117" t="s">
        <v>92</v>
      </c>
      <c r="B36" s="88">
        <v>0.21809999999999999</v>
      </c>
      <c r="C36" s="88">
        <f t="shared" si="0"/>
        <v>0</v>
      </c>
      <c r="D36" s="88">
        <v>0</v>
      </c>
      <c r="E36" s="160">
        <f t="shared" si="1"/>
        <v>0</v>
      </c>
      <c r="F36" s="160">
        <v>0</v>
      </c>
    </row>
    <row r="37" spans="1:6" ht="15" customHeight="1" x14ac:dyDescent="0.2">
      <c r="A37" s="86" t="s">
        <v>93</v>
      </c>
      <c r="B37" s="88">
        <v>0.2422</v>
      </c>
      <c r="C37" s="88">
        <f t="shared" si="0"/>
        <v>0</v>
      </c>
      <c r="D37" s="88">
        <v>0</v>
      </c>
      <c r="E37" s="160">
        <f t="shared" si="1"/>
        <v>0</v>
      </c>
      <c r="F37" s="160">
        <v>0</v>
      </c>
    </row>
    <row r="38" spans="1:6" ht="15" customHeight="1" x14ac:dyDescent="0.2">
      <c r="A38" s="117" t="s">
        <v>96</v>
      </c>
      <c r="B38" s="87">
        <v>0.1416</v>
      </c>
      <c r="C38" s="88">
        <f t="shared" ref="C38:C43" si="2">IF((E38+F38)&gt;0.25,0.25,E38+F38)</f>
        <v>4.2046250875963566E-2</v>
      </c>
      <c r="D38" s="88">
        <v>0.14000000000000001</v>
      </c>
      <c r="E38" s="88">
        <f t="shared" si="1"/>
        <v>4.2046250875963566E-2</v>
      </c>
      <c r="F38" s="88">
        <v>0</v>
      </c>
    </row>
    <row r="39" spans="1:6" ht="15" customHeight="1" x14ac:dyDescent="0.2">
      <c r="A39" s="117" t="s">
        <v>94</v>
      </c>
      <c r="B39" s="87">
        <v>0.1416</v>
      </c>
      <c r="C39" s="88">
        <f t="shared" si="2"/>
        <v>0.1384022424667134</v>
      </c>
      <c r="D39" s="88">
        <v>0.25</v>
      </c>
      <c r="E39" s="88">
        <f t="shared" si="1"/>
        <v>0.1384022424667134</v>
      </c>
      <c r="F39" s="88">
        <v>0</v>
      </c>
    </row>
    <row r="40" spans="1:6" ht="15" customHeight="1" x14ac:dyDescent="0.2">
      <c r="A40" s="117" t="s">
        <v>116</v>
      </c>
      <c r="B40" s="87">
        <v>0.1416</v>
      </c>
      <c r="C40" s="88">
        <f t="shared" si="2"/>
        <v>0.25</v>
      </c>
      <c r="D40" s="88">
        <v>0</v>
      </c>
      <c r="E40" s="88">
        <f t="shared" si="1"/>
        <v>0</v>
      </c>
      <c r="F40" s="88">
        <v>0.25</v>
      </c>
    </row>
    <row r="41" spans="1:6" ht="15" customHeight="1" x14ac:dyDescent="0.2">
      <c r="A41" s="117" t="s">
        <v>117</v>
      </c>
      <c r="B41" s="87">
        <v>0.1416</v>
      </c>
      <c r="C41" s="88">
        <f t="shared" si="2"/>
        <v>0.25</v>
      </c>
      <c r="D41" s="88">
        <v>0</v>
      </c>
      <c r="E41" s="88">
        <f t="shared" si="1"/>
        <v>0</v>
      </c>
      <c r="F41" s="88">
        <v>0.25</v>
      </c>
    </row>
    <row r="42" spans="1:6" ht="15" customHeight="1" x14ac:dyDescent="0.2">
      <c r="A42" s="117" t="s">
        <v>118</v>
      </c>
      <c r="B42" s="87">
        <v>0.1416</v>
      </c>
      <c r="C42" s="88">
        <f t="shared" si="2"/>
        <v>0.25</v>
      </c>
      <c r="D42" s="88">
        <v>0</v>
      </c>
      <c r="E42" s="88">
        <f t="shared" si="1"/>
        <v>0</v>
      </c>
      <c r="F42" s="88">
        <v>0.25</v>
      </c>
    </row>
    <row r="43" spans="1:6" ht="15" customHeight="1" x14ac:dyDescent="0.2">
      <c r="A43" s="117" t="s">
        <v>95</v>
      </c>
      <c r="B43" s="87">
        <v>0.1416</v>
      </c>
      <c r="C43" s="88">
        <f t="shared" si="2"/>
        <v>0.25</v>
      </c>
      <c r="D43" s="88">
        <v>0.25</v>
      </c>
      <c r="E43" s="88">
        <f t="shared" si="1"/>
        <v>0.1384022424667134</v>
      </c>
      <c r="F43" s="88">
        <v>0.2</v>
      </c>
    </row>
    <row r="44" spans="1:6" ht="15" customHeight="1" x14ac:dyDescent="0.2">
      <c r="A44" s="117" t="s">
        <v>119</v>
      </c>
      <c r="B44" s="87">
        <v>0.1416</v>
      </c>
      <c r="C44" s="88">
        <f>IF((E44+F44)&gt;0.25,0.25,E44+F44)</f>
        <v>0.25</v>
      </c>
      <c r="D44" s="88">
        <v>0</v>
      </c>
      <c r="E44" s="88">
        <f>IF((ROUND(D44-(B44*0.65),4)/(1+B44))&lt;0,0,ROUND(D44-(B44*0.65),4)/(1+B44))</f>
        <v>0</v>
      </c>
      <c r="F44" s="88">
        <v>0.25</v>
      </c>
    </row>
    <row r="45" spans="1:6" ht="15" customHeight="1" x14ac:dyDescent="0.2">
      <c r="A45" s="117" t="s">
        <v>99</v>
      </c>
      <c r="B45" s="87">
        <v>0</v>
      </c>
      <c r="C45" s="88">
        <f>IF((E45+F45)&gt;0.25,0.25,E45+F45)</f>
        <v>0</v>
      </c>
      <c r="D45" s="88">
        <v>0</v>
      </c>
      <c r="E45" s="160">
        <f>IF((ROUND(D45-(B45*0.65),4)/(1+B45))&lt;0,0,ROUND(D45-(B45*0.65),4)/(1+B45))</f>
        <v>0</v>
      </c>
      <c r="F45" s="160">
        <v>0</v>
      </c>
    </row>
    <row r="47" spans="1:6" x14ac:dyDescent="0.2">
      <c r="A47" s="115"/>
    </row>
  </sheetData>
  <sheetProtection password="CCE4" sheet="1" objects="1" scenarios="1"/>
  <phoneticPr fontId="19"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RowHeight="12.75" x14ac:dyDescent="0.2"/>
  <cols>
    <col min="1" max="1" width="9.140625" style="133"/>
    <col min="2" max="2" width="8.7109375" style="133" customWidth="1"/>
    <col min="3" max="3" width="15.7109375" style="133" customWidth="1"/>
    <col min="4" max="5" width="12.28515625" style="133" customWidth="1"/>
    <col min="6" max="6" width="8.7109375" style="133" customWidth="1"/>
    <col min="7" max="7" width="15.7109375" style="133" customWidth="1"/>
    <col min="8" max="11" width="12.28515625" style="133" customWidth="1"/>
    <col min="12" max="16384" width="9.140625" style="133"/>
  </cols>
  <sheetData>
    <row r="1" spans="1:9" s="46" customFormat="1" ht="25.5" customHeight="1" x14ac:dyDescent="0.4">
      <c r="A1" s="194" t="s">
        <v>165</v>
      </c>
      <c r="B1" s="194"/>
      <c r="C1" s="194"/>
      <c r="D1" s="194"/>
      <c r="E1" s="194"/>
      <c r="F1" s="194"/>
      <c r="G1" s="194"/>
      <c r="H1" s="194"/>
      <c r="I1" s="194"/>
    </row>
    <row r="2" spans="1:9" s="46" customFormat="1" ht="12.75" customHeight="1" x14ac:dyDescent="0.4">
      <c r="A2" s="129"/>
      <c r="B2" s="129"/>
      <c r="C2" s="129"/>
      <c r="D2" s="129"/>
      <c r="E2" s="129"/>
      <c r="F2" s="129"/>
      <c r="G2" s="129"/>
      <c r="H2" s="129"/>
      <c r="I2" s="129"/>
    </row>
    <row r="3" spans="1:9" x14ac:dyDescent="0.2">
      <c r="A3" s="134"/>
      <c r="B3" s="134"/>
      <c r="C3" s="134"/>
      <c r="D3" s="199" t="s">
        <v>135</v>
      </c>
      <c r="E3" s="199"/>
      <c r="F3" s="199"/>
      <c r="G3" s="134"/>
      <c r="H3" s="134"/>
    </row>
    <row r="4" spans="1:9" x14ac:dyDescent="0.2">
      <c r="A4" s="134"/>
      <c r="B4" s="134"/>
      <c r="C4" s="134"/>
      <c r="D4" s="128"/>
      <c r="E4" s="128"/>
      <c r="F4" s="128"/>
      <c r="G4" s="134"/>
      <c r="H4" s="134"/>
    </row>
    <row r="5" spans="1:9" ht="19.5" x14ac:dyDescent="0.3">
      <c r="A5" s="198" t="str">
        <f>"Locality/COLA Area: "&amp;'Start Page'!C31</f>
        <v>Locality/COLA Area: Rest of the United States</v>
      </c>
      <c r="B5" s="198"/>
      <c r="C5" s="198"/>
      <c r="D5" s="198"/>
      <c r="E5" s="198"/>
      <c r="F5" s="198"/>
      <c r="G5" s="198"/>
      <c r="H5" s="198"/>
      <c r="I5" s="198"/>
    </row>
    <row r="6" spans="1:9" ht="12.75" customHeight="1" x14ac:dyDescent="0.3">
      <c r="D6" s="7"/>
      <c r="E6" s="85"/>
      <c r="F6" s="10"/>
      <c r="G6" s="136"/>
      <c r="H6" s="136"/>
    </row>
    <row r="7" spans="1:9" x14ac:dyDescent="0.2">
      <c r="A7" s="195" t="s">
        <v>166</v>
      </c>
      <c r="B7" s="196"/>
      <c r="C7" s="196"/>
      <c r="D7" s="196"/>
      <c r="E7" s="196"/>
      <c r="F7" s="196"/>
      <c r="G7" s="196"/>
      <c r="H7" s="196"/>
      <c r="I7" s="196"/>
    </row>
    <row r="8" spans="1:9" x14ac:dyDescent="0.2">
      <c r="A8" s="130"/>
      <c r="B8" s="131"/>
      <c r="C8" s="131"/>
      <c r="D8" s="131"/>
      <c r="E8" s="131"/>
      <c r="F8" s="131"/>
      <c r="G8" s="131"/>
      <c r="H8" s="131"/>
      <c r="I8" s="131"/>
    </row>
    <row r="9" spans="1:9" ht="51" customHeight="1" x14ac:dyDescent="0.2">
      <c r="A9" s="200" t="s">
        <v>167</v>
      </c>
      <c r="B9" s="200"/>
      <c r="C9" s="200"/>
      <c r="D9" s="200"/>
      <c r="E9" s="200"/>
      <c r="F9" s="200"/>
      <c r="G9" s="200"/>
      <c r="H9" s="200"/>
      <c r="I9" s="200"/>
    </row>
    <row r="10" spans="1:9" x14ac:dyDescent="0.2">
      <c r="E10" s="135"/>
      <c r="G10" s="136"/>
      <c r="H10" s="136"/>
    </row>
    <row r="11" spans="1:9" s="52" customFormat="1" ht="25.5" customHeight="1" x14ac:dyDescent="0.2">
      <c r="A11" s="162" t="s">
        <v>168</v>
      </c>
      <c r="B11" s="162"/>
      <c r="C11" s="162"/>
      <c r="D11" s="162"/>
      <c r="E11" s="162"/>
      <c r="F11" s="162"/>
      <c r="G11" s="162"/>
      <c r="H11" s="162"/>
      <c r="I11" s="162"/>
    </row>
    <row r="12" spans="1:9" s="52" customFormat="1" x14ac:dyDescent="0.2">
      <c r="A12" s="126"/>
      <c r="B12" s="126"/>
      <c r="C12" s="126"/>
      <c r="D12" s="126"/>
      <c r="E12" s="126"/>
      <c r="F12" s="126"/>
      <c r="G12" s="126"/>
      <c r="H12" s="126"/>
      <c r="I12" s="126"/>
    </row>
    <row r="13" spans="1:9" s="52" customFormat="1" ht="25.5" customHeight="1" x14ac:dyDescent="0.2">
      <c r="A13" s="162" t="s">
        <v>173</v>
      </c>
      <c r="B13" s="162"/>
      <c r="C13" s="162"/>
      <c r="D13" s="162"/>
      <c r="E13" s="162"/>
      <c r="F13" s="162"/>
      <c r="G13" s="162"/>
      <c r="H13" s="162"/>
      <c r="I13" s="162"/>
    </row>
    <row r="14" spans="1:9" s="52" customFormat="1" x14ac:dyDescent="0.2">
      <c r="A14" s="47"/>
    </row>
    <row r="15" spans="1:9" s="52" customFormat="1" x14ac:dyDescent="0.2">
      <c r="A15" s="52" t="s">
        <v>141</v>
      </c>
      <c r="C15" s="132">
        <v>50000</v>
      </c>
      <c r="F15" s="50" t="str">
        <f>IF(C15&gt;0,"","Error!  I would like to think you are making something for your trouble.")</f>
        <v/>
      </c>
    </row>
    <row r="16" spans="1:9" s="52" customFormat="1" x14ac:dyDescent="0.2">
      <c r="A16" s="47"/>
    </row>
    <row r="17" spans="1:11" ht="18.75" x14ac:dyDescent="0.3">
      <c r="B17" s="197" t="s">
        <v>137</v>
      </c>
      <c r="C17" s="197"/>
      <c r="D17" s="197"/>
      <c r="E17" s="135"/>
      <c r="F17" s="197" t="s">
        <v>143</v>
      </c>
      <c r="G17" s="197"/>
      <c r="H17" s="197"/>
    </row>
    <row r="18" spans="1:11" x14ac:dyDescent="0.2">
      <c r="E18" s="128"/>
      <c r="F18" s="128"/>
      <c r="G18" s="128"/>
    </row>
    <row r="19" spans="1:11" x14ac:dyDescent="0.2">
      <c r="A19" s="46"/>
      <c r="B19" s="56" t="s">
        <v>43</v>
      </c>
      <c r="C19" s="56" t="s">
        <v>1</v>
      </c>
      <c r="D19" s="137" t="s">
        <v>142</v>
      </c>
      <c r="E19" s="46"/>
      <c r="F19" s="56" t="s">
        <v>43</v>
      </c>
      <c r="G19" s="56" t="s">
        <v>1</v>
      </c>
      <c r="H19" s="137" t="s">
        <v>142</v>
      </c>
      <c r="I19" s="46"/>
      <c r="J19" s="46"/>
      <c r="K19" s="46"/>
    </row>
    <row r="20" spans="1:11" ht="12.75" customHeight="1" x14ac:dyDescent="0.2">
      <c r="A20" s="46"/>
      <c r="B20" s="138"/>
      <c r="C20" s="139" t="s">
        <v>169</v>
      </c>
      <c r="D20" s="140">
        <f>ROUND($C$15+($C$15*'Start Page'!$C$33),0)</f>
        <v>57080</v>
      </c>
      <c r="E20" s="46"/>
      <c r="F20" s="138"/>
      <c r="G20" s="139" t="s">
        <v>169</v>
      </c>
      <c r="H20" s="140">
        <f>ROUND($C$15+($C$15*'Start Page'!$C$33),0)</f>
        <v>57080</v>
      </c>
      <c r="I20" s="46"/>
      <c r="J20" s="46"/>
      <c r="K20" s="46"/>
    </row>
    <row r="21" spans="1:11" x14ac:dyDescent="0.2">
      <c r="A21" s="46"/>
      <c r="B21" s="138">
        <v>106</v>
      </c>
      <c r="C21" s="142" t="s">
        <v>41</v>
      </c>
      <c r="D21" s="143">
        <f>D22*106</f>
        <v>2195.2600000000002</v>
      </c>
      <c r="E21" s="46"/>
      <c r="F21" s="138">
        <v>80</v>
      </c>
      <c r="G21" s="144" t="s">
        <v>170</v>
      </c>
      <c r="H21" s="145">
        <f>H22*80</f>
        <v>2188</v>
      </c>
      <c r="I21" s="46"/>
      <c r="J21" s="46"/>
      <c r="K21" s="46"/>
    </row>
    <row r="22" spans="1:11" x14ac:dyDescent="0.2">
      <c r="A22" s="46"/>
      <c r="B22" s="138"/>
      <c r="C22" s="142" t="s">
        <v>13</v>
      </c>
      <c r="D22" s="143">
        <f>ROUND(D20/2756,2)</f>
        <v>20.71</v>
      </c>
      <c r="E22" s="46"/>
      <c r="F22" s="138"/>
      <c r="G22" s="144" t="s">
        <v>171</v>
      </c>
      <c r="H22" s="146">
        <f>ROUND(H20/2087,2)</f>
        <v>27.35</v>
      </c>
      <c r="I22" s="46"/>
      <c r="J22" s="46"/>
      <c r="K22" s="46"/>
    </row>
    <row r="23" spans="1:11" x14ac:dyDescent="0.2">
      <c r="A23" s="46"/>
      <c r="B23" s="147">
        <f>('Start Page'!$C$16-53)*2</f>
        <v>38</v>
      </c>
      <c r="C23" s="142" t="s">
        <v>42</v>
      </c>
      <c r="D23" s="143">
        <f>D24*B23</f>
        <v>1180.6600000000001</v>
      </c>
      <c r="E23" s="46"/>
      <c r="F23" s="138">
        <v>26</v>
      </c>
      <c r="G23" s="141" t="s">
        <v>41</v>
      </c>
      <c r="H23" s="143">
        <f>H24*26</f>
        <v>538.46</v>
      </c>
      <c r="I23" s="46"/>
      <c r="J23" s="46"/>
      <c r="K23" s="46"/>
    </row>
    <row r="24" spans="1:11" x14ac:dyDescent="0.2">
      <c r="A24" s="46"/>
      <c r="B24" s="138"/>
      <c r="C24" s="142" t="s">
        <v>14</v>
      </c>
      <c r="D24" s="143">
        <f>IF(ROUND(D22*1.5,2)&lt;'Shift Firefighters'!$G$122,ROUND(D22*1.5,2),IF('Shift Firefighters'!$G$122&lt;D22,D22,'Shift Firefighters'!$G$122))</f>
        <v>31.07</v>
      </c>
      <c r="E24" s="46"/>
      <c r="F24" s="138"/>
      <c r="G24" s="141" t="s">
        <v>13</v>
      </c>
      <c r="H24" s="143">
        <f>ROUND(H20/2756,2)</f>
        <v>20.71</v>
      </c>
      <c r="I24" s="46"/>
      <c r="J24" s="46"/>
      <c r="K24" s="46"/>
    </row>
    <row r="25" spans="1:11" x14ac:dyDescent="0.2">
      <c r="A25" s="46"/>
      <c r="B25" s="148"/>
      <c r="C25" s="149" t="s">
        <v>46</v>
      </c>
      <c r="D25" s="143">
        <f>ROUND(D22*'Start Page'!$F$33,2)*B26</f>
        <v>0</v>
      </c>
      <c r="E25" s="46"/>
      <c r="F25" s="147">
        <f>('Start Page'!$C$18-53)*2</f>
        <v>14</v>
      </c>
      <c r="G25" s="141" t="s">
        <v>42</v>
      </c>
      <c r="H25" s="143">
        <f>H26*F25</f>
        <v>434.98</v>
      </c>
      <c r="I25" s="46"/>
      <c r="J25" s="46"/>
      <c r="K25" s="46"/>
    </row>
    <row r="26" spans="1:11" x14ac:dyDescent="0.2">
      <c r="A26" s="46"/>
      <c r="B26" s="138">
        <f>B21+B23</f>
        <v>144</v>
      </c>
      <c r="C26" s="150" t="s">
        <v>17</v>
      </c>
      <c r="D26" s="151">
        <f>D21+D23+D25</f>
        <v>3375.92</v>
      </c>
      <c r="E26" s="46"/>
      <c r="F26" s="138"/>
      <c r="G26" s="141" t="s">
        <v>14</v>
      </c>
      <c r="H26" s="143">
        <f>IF(ROUND(H24*1.5,2)&lt;'Shift Firefighters'!$G$122,ROUND(H24*1.5,2),IF('Shift Firefighters'!$G$122&lt;H24,H24,'Shift Firefighters'!$G$122))</f>
        <v>31.07</v>
      </c>
      <c r="I26" s="46"/>
      <c r="J26" s="46"/>
      <c r="K26" s="46"/>
    </row>
    <row r="27" spans="1:11" x14ac:dyDescent="0.2">
      <c r="A27" s="46"/>
      <c r="B27" s="138"/>
      <c r="C27" s="150" t="s">
        <v>33</v>
      </c>
      <c r="D27" s="151">
        <f>D26*'Start Page'!$C$41</f>
        <v>87773.92</v>
      </c>
      <c r="E27" s="46"/>
      <c r="F27" s="148"/>
      <c r="G27" s="144" t="s">
        <v>46</v>
      </c>
      <c r="H27" s="143">
        <f>(ROUND(H22*'Start Page'!$F$33,2)*80)+(ROUND(H24*'Start Page'!$F$33,2)*(F28-80))</f>
        <v>0</v>
      </c>
      <c r="I27" s="46"/>
      <c r="J27" s="46"/>
      <c r="K27" s="46"/>
    </row>
    <row r="28" spans="1:11" x14ac:dyDescent="0.2">
      <c r="A28" s="46"/>
      <c r="B28" s="152"/>
      <c r="C28" s="153" t="s">
        <v>105</v>
      </c>
      <c r="D28" s="154">
        <f>D22*B26*'Start Page'!$C$41</f>
        <v>77538.240000000005</v>
      </c>
      <c r="E28" s="46"/>
      <c r="F28" s="138">
        <f>F21+F23+F25</f>
        <v>120</v>
      </c>
      <c r="G28" s="155" t="s">
        <v>17</v>
      </c>
      <c r="H28" s="151">
        <f>H21+H23+H25+H27</f>
        <v>3161.44</v>
      </c>
      <c r="I28" s="46"/>
      <c r="J28" s="46"/>
      <c r="K28" s="46"/>
    </row>
    <row r="29" spans="1:11" x14ac:dyDescent="0.2">
      <c r="A29" s="46"/>
      <c r="B29" s="46"/>
      <c r="C29" s="46"/>
      <c r="D29" s="46"/>
      <c r="E29" s="46"/>
      <c r="F29" s="138"/>
      <c r="G29" s="155" t="s">
        <v>33</v>
      </c>
      <c r="H29" s="151">
        <f>H28*'Start Page'!$C$41</f>
        <v>82197.440000000002</v>
      </c>
      <c r="I29" s="46"/>
      <c r="J29" s="46"/>
      <c r="K29" s="46"/>
    </row>
    <row r="30" spans="1:11" x14ac:dyDescent="0.2">
      <c r="A30" s="46"/>
      <c r="B30" s="46"/>
      <c r="C30" s="46"/>
      <c r="D30" s="46"/>
      <c r="E30" s="46"/>
      <c r="F30" s="152"/>
      <c r="G30" s="153" t="s">
        <v>105</v>
      </c>
      <c r="H30" s="156">
        <f>((H22*80)+(H24*(F28-80)))*'Start Page'!$C$41</f>
        <v>78426.400000000009</v>
      </c>
      <c r="I30" s="46"/>
      <c r="J30" s="46"/>
      <c r="K30" s="46"/>
    </row>
    <row r="31" spans="1:11" x14ac:dyDescent="0.2">
      <c r="A31" s="46"/>
      <c r="B31" s="46"/>
      <c r="C31" s="46"/>
      <c r="D31" s="46"/>
      <c r="E31" s="46"/>
      <c r="F31" s="46"/>
      <c r="G31" s="46"/>
      <c r="H31" s="46"/>
      <c r="I31" s="46"/>
      <c r="J31" s="46"/>
      <c r="K31" s="46"/>
    </row>
    <row r="32" spans="1:11" x14ac:dyDescent="0.2">
      <c r="A32" s="46"/>
      <c r="B32" s="46"/>
      <c r="C32" s="46"/>
      <c r="D32" s="46"/>
      <c r="E32" s="46"/>
      <c r="F32" s="46"/>
      <c r="G32" s="46"/>
      <c r="H32" s="46"/>
      <c r="I32" s="46"/>
      <c r="J32" s="46"/>
      <c r="K32" s="46"/>
    </row>
    <row r="33" spans="6:8" x14ac:dyDescent="0.2">
      <c r="F33" s="46"/>
      <c r="G33" s="46"/>
      <c r="H33" s="46"/>
    </row>
    <row r="34" spans="6:8" x14ac:dyDescent="0.2">
      <c r="F34" s="46"/>
      <c r="G34" s="46"/>
      <c r="H34" s="46"/>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F6" sqref="F6:G6"/>
    </sheetView>
  </sheetViews>
  <sheetFormatPr defaultRowHeight="12.75" x14ac:dyDescent="0.2"/>
  <cols>
    <col min="1" max="1" width="9.140625" style="31"/>
    <col min="2" max="11" width="12.28515625" style="31" customWidth="1"/>
    <col min="12" max="16384" width="9.140625" style="31"/>
  </cols>
  <sheetData>
    <row r="1" spans="1:11" s="7" customFormat="1" ht="25.5" customHeight="1" x14ac:dyDescent="0.4">
      <c r="D1" s="8">
        <f>'Start Page'!$C$58</f>
        <v>2012</v>
      </c>
      <c r="E1" s="9" t="s">
        <v>37</v>
      </c>
    </row>
    <row r="2" spans="1:11" s="7" customFormat="1" ht="25.5" customHeight="1" x14ac:dyDescent="0.25">
      <c r="A2" s="205" t="str">
        <f>"Locality/COLA Area: "&amp;'Start Page'!C31</f>
        <v>Locality/COLA Area: Rest of the United States</v>
      </c>
      <c r="B2" s="205"/>
      <c r="C2" s="205"/>
      <c r="D2" s="205"/>
      <c r="E2" s="205"/>
      <c r="F2" s="205"/>
      <c r="G2" s="205"/>
      <c r="H2" s="205"/>
      <c r="I2" s="205"/>
      <c r="J2" s="205"/>
      <c r="K2" s="205"/>
    </row>
    <row r="3" spans="1:11" x14ac:dyDescent="0.2">
      <c r="E3" s="38"/>
      <c r="F3" s="39" t="s">
        <v>98</v>
      </c>
      <c r="G3" s="84">
        <f>'Start Page'!C33</f>
        <v>0.1416</v>
      </c>
      <c r="H3" s="40"/>
    </row>
    <row r="4" spans="1:11" x14ac:dyDescent="0.2">
      <c r="E4" s="38"/>
      <c r="F4" s="39" t="s">
        <v>136</v>
      </c>
      <c r="G4" s="84">
        <f>'Start Page'!F33</f>
        <v>0</v>
      </c>
      <c r="H4" s="40"/>
    </row>
    <row r="5" spans="1:11" x14ac:dyDescent="0.2">
      <c r="E5" s="201" t="str">
        <f>IF(D1='GS Pay Calculator'!B2,"","Warning! These pay figures are now estimates only!")</f>
        <v/>
      </c>
      <c r="F5" s="201"/>
      <c r="G5" s="201"/>
      <c r="H5" s="201"/>
    </row>
    <row r="6" spans="1:11" x14ac:dyDescent="0.2">
      <c r="E6" s="38"/>
      <c r="F6" s="202" t="s">
        <v>135</v>
      </c>
      <c r="G6" s="202"/>
      <c r="H6" s="40"/>
    </row>
    <row r="7" spans="1:11" ht="12.75" customHeight="1" x14ac:dyDescent="0.2">
      <c r="A7" s="41" t="s">
        <v>27</v>
      </c>
      <c r="B7" s="203" t="s">
        <v>28</v>
      </c>
      <c r="C7" s="204"/>
      <c r="D7" s="204"/>
      <c r="E7" s="204"/>
      <c r="F7" s="204"/>
      <c r="G7" s="204"/>
      <c r="H7" s="204"/>
      <c r="I7" s="204"/>
      <c r="J7" s="204"/>
      <c r="K7" s="204"/>
    </row>
    <row r="8" spans="1:11" x14ac:dyDescent="0.2">
      <c r="A8" s="42" t="s">
        <v>29</v>
      </c>
      <c r="B8" s="43">
        <v>1</v>
      </c>
      <c r="C8" s="43">
        <v>2</v>
      </c>
      <c r="D8" s="43">
        <v>3</v>
      </c>
      <c r="E8" s="43">
        <v>4</v>
      </c>
      <c r="F8" s="43">
        <v>5</v>
      </c>
      <c r="G8" s="43">
        <v>6</v>
      </c>
      <c r="H8" s="43">
        <v>7</v>
      </c>
      <c r="I8" s="43">
        <v>8</v>
      </c>
      <c r="J8" s="43">
        <v>9</v>
      </c>
      <c r="K8" s="43">
        <v>10</v>
      </c>
    </row>
    <row r="9" spans="1:11" x14ac:dyDescent="0.2">
      <c r="A9" s="44">
        <v>3</v>
      </c>
      <c r="B9" s="62">
        <f>ROUND('GS Pay - No Locality'!B4+('GS Pay - No Locality'!B4*$G$3),0)</f>
        <v>24933</v>
      </c>
      <c r="C9" s="62">
        <f>ROUND('GS Pay - No Locality'!C4+('GS Pay - No Locality'!C4*$G$3),0)</f>
        <v>25764</v>
      </c>
      <c r="D9" s="62">
        <f>ROUND('GS Pay - No Locality'!D4+('GS Pay - No Locality'!D4*$G$3),0)</f>
        <v>26595</v>
      </c>
      <c r="E9" s="62">
        <f>ROUND('GS Pay - No Locality'!E4+('GS Pay - No Locality'!E4*$G$3),0)</f>
        <v>27426</v>
      </c>
      <c r="F9" s="62">
        <f>ROUND('GS Pay - No Locality'!F4+('GS Pay - No Locality'!F4*$G$3),0)</f>
        <v>28257</v>
      </c>
      <c r="G9" s="62">
        <f>ROUND('GS Pay - No Locality'!G4+('GS Pay - No Locality'!G4*$G$3),0)</f>
        <v>29088</v>
      </c>
      <c r="H9" s="62">
        <f>ROUND('GS Pay - No Locality'!H4+('GS Pay - No Locality'!H4*$G$3),0)</f>
        <v>29919</v>
      </c>
      <c r="I9" s="62">
        <f>ROUND('GS Pay - No Locality'!I4+('GS Pay - No Locality'!I4*$G$3),0)</f>
        <v>30750</v>
      </c>
      <c r="J9" s="62">
        <f>ROUND('GS Pay - No Locality'!J4+('GS Pay - No Locality'!J4*$G$3),0)</f>
        <v>31581</v>
      </c>
      <c r="K9" s="62">
        <f>ROUND('GS Pay - No Locality'!K4+('GS Pay - No Locality'!K4*$G$3),0)</f>
        <v>32412</v>
      </c>
    </row>
    <row r="10" spans="1:11" x14ac:dyDescent="0.2">
      <c r="A10" s="44">
        <v>4</v>
      </c>
      <c r="B10" s="62">
        <f>ROUND('GS Pay - No Locality'!B5+('GS Pay - No Locality'!B5*$G$3),0)</f>
        <v>27990</v>
      </c>
      <c r="C10" s="62">
        <f>ROUND('GS Pay - No Locality'!C5+('GS Pay - No Locality'!C5*$G$3),0)</f>
        <v>28922</v>
      </c>
      <c r="D10" s="62">
        <f>ROUND('GS Pay - No Locality'!D5+('GS Pay - No Locality'!D5*$G$3),0)</f>
        <v>29855</v>
      </c>
      <c r="E10" s="62">
        <f>ROUND('GS Pay - No Locality'!E5+('GS Pay - No Locality'!E5*$G$3),0)</f>
        <v>30788</v>
      </c>
      <c r="F10" s="62">
        <f>ROUND('GS Pay - No Locality'!F5+('GS Pay - No Locality'!F5*$G$3),0)</f>
        <v>31720</v>
      </c>
      <c r="G10" s="62">
        <f>ROUND('GS Pay - No Locality'!G5+('GS Pay - No Locality'!G5*$G$3),0)</f>
        <v>32653</v>
      </c>
      <c r="H10" s="62">
        <f>ROUND('GS Pay - No Locality'!H5+('GS Pay - No Locality'!H5*$G$3),0)</f>
        <v>33586</v>
      </c>
      <c r="I10" s="62">
        <f>ROUND('GS Pay - No Locality'!I5+('GS Pay - No Locality'!I5*$G$3),0)</f>
        <v>34519</v>
      </c>
      <c r="J10" s="62">
        <f>ROUND('GS Pay - No Locality'!J5+('GS Pay - No Locality'!J5*$G$3),0)</f>
        <v>35451</v>
      </c>
      <c r="K10" s="62">
        <f>ROUND('GS Pay - No Locality'!K5+('GS Pay - No Locality'!K5*$G$3),0)</f>
        <v>36384</v>
      </c>
    </row>
    <row r="11" spans="1:11" x14ac:dyDescent="0.2">
      <c r="A11" s="44">
        <v>5</v>
      </c>
      <c r="B11" s="62">
        <f>ROUND('GS Pay - No Locality'!B6+('GS Pay - No Locality'!B6*$G$3),0)</f>
        <v>31315</v>
      </c>
      <c r="C11" s="62">
        <f>ROUND('GS Pay - No Locality'!C6+('GS Pay - No Locality'!C6*$G$3),0)</f>
        <v>32359</v>
      </c>
      <c r="D11" s="62">
        <f>ROUND('GS Pay - No Locality'!D6+('GS Pay - No Locality'!D6*$G$3),0)</f>
        <v>33402</v>
      </c>
      <c r="E11" s="62">
        <f>ROUND('GS Pay - No Locality'!E6+('GS Pay - No Locality'!E6*$G$3),0)</f>
        <v>34445</v>
      </c>
      <c r="F11" s="62">
        <f>ROUND('GS Pay - No Locality'!F6+('GS Pay - No Locality'!F6*$G$3),0)</f>
        <v>35489</v>
      </c>
      <c r="G11" s="62">
        <f>ROUND('GS Pay - No Locality'!G6+('GS Pay - No Locality'!G6*$G$3),0)</f>
        <v>36532</v>
      </c>
      <c r="H11" s="62">
        <f>ROUND('GS Pay - No Locality'!H6+('GS Pay - No Locality'!H6*$G$3),0)</f>
        <v>37576</v>
      </c>
      <c r="I11" s="62">
        <f>ROUND('GS Pay - No Locality'!I6+('GS Pay - No Locality'!I6*$G$3),0)</f>
        <v>38619</v>
      </c>
      <c r="J11" s="62">
        <f>ROUND('GS Pay - No Locality'!J6+('GS Pay - No Locality'!J6*$G$3),0)</f>
        <v>39663</v>
      </c>
      <c r="K11" s="62">
        <f>ROUND('GS Pay - No Locality'!K6+('GS Pay - No Locality'!K6*$G$3),0)</f>
        <v>40706</v>
      </c>
    </row>
    <row r="12" spans="1:11" x14ac:dyDescent="0.2">
      <c r="A12" s="44">
        <v>6</v>
      </c>
      <c r="B12" s="62">
        <f>ROUND('GS Pay - No Locality'!B7+('GS Pay - No Locality'!B7*$G$3),0)</f>
        <v>34907</v>
      </c>
      <c r="C12" s="62">
        <f>ROUND('GS Pay - No Locality'!C7+('GS Pay - No Locality'!C7*$G$3),0)</f>
        <v>36070</v>
      </c>
      <c r="D12" s="62">
        <f>ROUND('GS Pay - No Locality'!D7+('GS Pay - No Locality'!D7*$G$3),0)</f>
        <v>37233</v>
      </c>
      <c r="E12" s="62">
        <f>ROUND('GS Pay - No Locality'!E7+('GS Pay - No Locality'!E7*$G$3),0)</f>
        <v>38397</v>
      </c>
      <c r="F12" s="62">
        <f>ROUND('GS Pay - No Locality'!F7+('GS Pay - No Locality'!F7*$G$3),0)</f>
        <v>39560</v>
      </c>
      <c r="G12" s="62">
        <f>ROUND('GS Pay - No Locality'!G7+('GS Pay - No Locality'!G7*$G$3),0)</f>
        <v>40723</v>
      </c>
      <c r="H12" s="62">
        <f>ROUND('GS Pay - No Locality'!H7+('GS Pay - No Locality'!H7*$G$3),0)</f>
        <v>41886</v>
      </c>
      <c r="I12" s="62">
        <f>ROUND('GS Pay - No Locality'!I7+('GS Pay - No Locality'!I7*$G$3),0)</f>
        <v>43050</v>
      </c>
      <c r="J12" s="62">
        <f>ROUND('GS Pay - No Locality'!J7+('GS Pay - No Locality'!J7*$G$3),0)</f>
        <v>44213</v>
      </c>
      <c r="K12" s="62">
        <f>ROUND('GS Pay - No Locality'!K7+('GS Pay - No Locality'!K7*$G$3),0)</f>
        <v>45376</v>
      </c>
    </row>
    <row r="13" spans="1:11" x14ac:dyDescent="0.2">
      <c r="A13" s="44">
        <v>7</v>
      </c>
      <c r="B13" s="62">
        <f>ROUND('GS Pay - No Locality'!B8+('GS Pay - No Locality'!B8*$G$3),0)</f>
        <v>38790</v>
      </c>
      <c r="C13" s="62">
        <f>ROUND('GS Pay - No Locality'!C8+('GS Pay - No Locality'!C8*$G$3),0)</f>
        <v>40084</v>
      </c>
      <c r="D13" s="62">
        <f>ROUND('GS Pay - No Locality'!D8+('GS Pay - No Locality'!D8*$G$3),0)</f>
        <v>41377</v>
      </c>
      <c r="E13" s="62">
        <f>ROUND('GS Pay - No Locality'!E8+('GS Pay - No Locality'!E8*$G$3),0)</f>
        <v>42671</v>
      </c>
      <c r="F13" s="62">
        <f>ROUND('GS Pay - No Locality'!F8+('GS Pay - No Locality'!F8*$G$3),0)</f>
        <v>43964</v>
      </c>
      <c r="G13" s="62">
        <f>ROUND('GS Pay - No Locality'!G8+('GS Pay - No Locality'!G8*$G$3),0)</f>
        <v>45258</v>
      </c>
      <c r="H13" s="62">
        <f>ROUND('GS Pay - No Locality'!H8+('GS Pay - No Locality'!H8*$G$3),0)</f>
        <v>46551</v>
      </c>
      <c r="I13" s="62">
        <f>ROUND('GS Pay - No Locality'!I8+('GS Pay - No Locality'!I8*$G$3),0)</f>
        <v>47844</v>
      </c>
      <c r="J13" s="62">
        <f>ROUND('GS Pay - No Locality'!J8+('GS Pay - No Locality'!J8*$G$3),0)</f>
        <v>49138</v>
      </c>
      <c r="K13" s="62">
        <f>ROUND('GS Pay - No Locality'!K8+('GS Pay - No Locality'!K8*$G$3),0)</f>
        <v>50431</v>
      </c>
    </row>
    <row r="14" spans="1:11" x14ac:dyDescent="0.2">
      <c r="A14" s="44">
        <v>8</v>
      </c>
      <c r="B14" s="62">
        <f>ROUND('GS Pay - No Locality'!B9+('GS Pay - No Locality'!B9*$G$3),0)</f>
        <v>42960</v>
      </c>
      <c r="C14" s="62">
        <f>ROUND('GS Pay - No Locality'!C9+('GS Pay - No Locality'!C9*$G$3),0)</f>
        <v>44391</v>
      </c>
      <c r="D14" s="62">
        <f>ROUND('GS Pay - No Locality'!D9+('GS Pay - No Locality'!D9*$G$3),0)</f>
        <v>45823</v>
      </c>
      <c r="E14" s="62">
        <f>ROUND('GS Pay - No Locality'!E9+('GS Pay - No Locality'!E9*$G$3),0)</f>
        <v>47254</v>
      </c>
      <c r="F14" s="62">
        <f>ROUND('GS Pay - No Locality'!F9+('GS Pay - No Locality'!F9*$G$3),0)</f>
        <v>48686</v>
      </c>
      <c r="G14" s="62">
        <f>ROUND('GS Pay - No Locality'!G9+('GS Pay - No Locality'!G9*$G$3),0)</f>
        <v>50117</v>
      </c>
      <c r="H14" s="62">
        <f>ROUND('GS Pay - No Locality'!H9+('GS Pay - No Locality'!H9*$G$3),0)</f>
        <v>51549</v>
      </c>
      <c r="I14" s="62">
        <f>ROUND('GS Pay - No Locality'!I9+('GS Pay - No Locality'!I9*$G$3),0)</f>
        <v>52981</v>
      </c>
      <c r="J14" s="62">
        <f>ROUND('GS Pay - No Locality'!J9+('GS Pay - No Locality'!J9*$G$3),0)</f>
        <v>54412</v>
      </c>
      <c r="K14" s="62">
        <f>ROUND('GS Pay - No Locality'!K9+('GS Pay - No Locality'!K9*$G$3),0)</f>
        <v>55844</v>
      </c>
    </row>
    <row r="15" spans="1:11" x14ac:dyDescent="0.2">
      <c r="A15" s="44">
        <v>9</v>
      </c>
      <c r="B15" s="62">
        <f>ROUND('GS Pay - No Locality'!B10+('GS Pay - No Locality'!B10*$G$3),0)</f>
        <v>47448</v>
      </c>
      <c r="C15" s="62">
        <f>ROUND('GS Pay - No Locality'!C10+('GS Pay - No Locality'!C10*$G$3),0)</f>
        <v>49029</v>
      </c>
      <c r="D15" s="62">
        <f>ROUND('GS Pay - No Locality'!D10+('GS Pay - No Locality'!D10*$G$3),0)</f>
        <v>50611</v>
      </c>
      <c r="E15" s="62">
        <f>ROUND('GS Pay - No Locality'!E10+('GS Pay - No Locality'!E10*$G$3),0)</f>
        <v>52192</v>
      </c>
      <c r="F15" s="62">
        <f>ROUND('GS Pay - No Locality'!F10+('GS Pay - No Locality'!F10*$G$3),0)</f>
        <v>53773</v>
      </c>
      <c r="G15" s="62">
        <f>ROUND('GS Pay - No Locality'!G10+('GS Pay - No Locality'!G10*$G$3),0)</f>
        <v>55354</v>
      </c>
      <c r="H15" s="62">
        <f>ROUND('GS Pay - No Locality'!H10+('GS Pay - No Locality'!H10*$G$3),0)</f>
        <v>56935</v>
      </c>
      <c r="I15" s="62">
        <f>ROUND('GS Pay - No Locality'!I10+('GS Pay - No Locality'!I10*$G$3),0)</f>
        <v>58516</v>
      </c>
      <c r="J15" s="62">
        <f>ROUND('GS Pay - No Locality'!J10+('GS Pay - No Locality'!J10*$G$3),0)</f>
        <v>60097</v>
      </c>
      <c r="K15" s="62">
        <f>ROUND('GS Pay - No Locality'!K10+('GS Pay - No Locality'!K10*$G$3),0)</f>
        <v>61678</v>
      </c>
    </row>
    <row r="16" spans="1:11" x14ac:dyDescent="0.2">
      <c r="A16" s="44">
        <v>10</v>
      </c>
      <c r="B16" s="62">
        <f>ROUND('GS Pay - No Locality'!B11+('GS Pay - No Locality'!B11*$G$3),0)</f>
        <v>52252</v>
      </c>
      <c r="C16" s="62">
        <f>ROUND('GS Pay - No Locality'!C11+('GS Pay - No Locality'!C11*$G$3),0)</f>
        <v>53994</v>
      </c>
      <c r="D16" s="62">
        <f>ROUND('GS Pay - No Locality'!D11+('GS Pay - No Locality'!D11*$G$3),0)</f>
        <v>55736</v>
      </c>
      <c r="E16" s="62">
        <f>ROUND('GS Pay - No Locality'!E11+('GS Pay - No Locality'!E11*$G$3),0)</f>
        <v>57478</v>
      </c>
      <c r="F16" s="62">
        <f>ROUND('GS Pay - No Locality'!F11+('GS Pay - No Locality'!F11*$G$3),0)</f>
        <v>59221</v>
      </c>
      <c r="G16" s="62">
        <f>ROUND('GS Pay - No Locality'!G11+('GS Pay - No Locality'!G11*$G$3),0)</f>
        <v>60963</v>
      </c>
      <c r="H16" s="62">
        <f>ROUND('GS Pay - No Locality'!H11+('GS Pay - No Locality'!H11*$G$3),0)</f>
        <v>62705</v>
      </c>
      <c r="I16" s="62">
        <f>ROUND('GS Pay - No Locality'!I11+('GS Pay - No Locality'!I11*$G$3),0)</f>
        <v>64447</v>
      </c>
      <c r="J16" s="62">
        <f>ROUND('GS Pay - No Locality'!J11+('GS Pay - No Locality'!J11*$G$3),0)</f>
        <v>66189</v>
      </c>
      <c r="K16" s="62">
        <f>ROUND('GS Pay - No Locality'!K11+('GS Pay - No Locality'!K11*$G$3),0)</f>
        <v>67931</v>
      </c>
    </row>
    <row r="17" spans="1:11" x14ac:dyDescent="0.2">
      <c r="A17" s="44">
        <v>11</v>
      </c>
      <c r="B17" s="62">
        <f>ROUND('GS Pay - No Locality'!B12+('GS Pay - No Locality'!B12*$G$3),0)</f>
        <v>57408</v>
      </c>
      <c r="C17" s="62">
        <f>ROUND('GS Pay - No Locality'!C12+('GS Pay - No Locality'!C12*$G$3),0)</f>
        <v>59321</v>
      </c>
      <c r="D17" s="62">
        <f>ROUND('GS Pay - No Locality'!D12+('GS Pay - No Locality'!D12*$G$3),0)</f>
        <v>61234</v>
      </c>
      <c r="E17" s="62">
        <f>ROUND('GS Pay - No Locality'!E12+('GS Pay - No Locality'!E12*$G$3),0)</f>
        <v>63148</v>
      </c>
      <c r="F17" s="62">
        <f>ROUND('GS Pay - No Locality'!F12+('GS Pay - No Locality'!F12*$G$3),0)</f>
        <v>65061</v>
      </c>
      <c r="G17" s="62">
        <f>ROUND('GS Pay - No Locality'!G12+('GS Pay - No Locality'!G12*$G$3),0)</f>
        <v>66974</v>
      </c>
      <c r="H17" s="62">
        <f>ROUND('GS Pay - No Locality'!H12+('GS Pay - No Locality'!H12*$G$3),0)</f>
        <v>68888</v>
      </c>
      <c r="I17" s="62">
        <f>ROUND('GS Pay - No Locality'!I12+('GS Pay - No Locality'!I12*$G$3),0)</f>
        <v>70801</v>
      </c>
      <c r="J17" s="62">
        <f>ROUND('GS Pay - No Locality'!J12+('GS Pay - No Locality'!J12*$G$3),0)</f>
        <v>72714</v>
      </c>
      <c r="K17" s="62">
        <f>ROUND('GS Pay - No Locality'!K12+('GS Pay - No Locality'!K12*$G$3),0)</f>
        <v>74628</v>
      </c>
    </row>
    <row r="18" spans="1:11" x14ac:dyDescent="0.2">
      <c r="A18" s="44">
        <v>12</v>
      </c>
      <c r="B18" s="62">
        <f>ROUND('GS Pay - No Locality'!B13+('GS Pay - No Locality'!B13*$G$3),0)</f>
        <v>68809</v>
      </c>
      <c r="C18" s="62">
        <f>ROUND('GS Pay - No Locality'!C13+('GS Pay - No Locality'!C13*$G$3),0)</f>
        <v>71102</v>
      </c>
      <c r="D18" s="62">
        <f>ROUND('GS Pay - No Locality'!D13+('GS Pay - No Locality'!D13*$G$3),0)</f>
        <v>73396</v>
      </c>
      <c r="E18" s="62">
        <f>ROUND('GS Pay - No Locality'!E13+('GS Pay - No Locality'!E13*$G$3),0)</f>
        <v>75689</v>
      </c>
      <c r="F18" s="62">
        <f>ROUND('GS Pay - No Locality'!F13+('GS Pay - No Locality'!F13*$G$3),0)</f>
        <v>77983</v>
      </c>
      <c r="G18" s="62">
        <f>ROUND('GS Pay - No Locality'!G13+('GS Pay - No Locality'!G13*$G$3),0)</f>
        <v>80276</v>
      </c>
      <c r="H18" s="62">
        <f>ROUND('GS Pay - No Locality'!H13+('GS Pay - No Locality'!H13*$G$3),0)</f>
        <v>82570</v>
      </c>
      <c r="I18" s="62">
        <f>ROUND('GS Pay - No Locality'!I13+('GS Pay - No Locality'!I13*$G$3),0)</f>
        <v>84863</v>
      </c>
      <c r="J18" s="62">
        <f>ROUND('GS Pay - No Locality'!J13+('GS Pay - No Locality'!J13*$G$3),0)</f>
        <v>87157</v>
      </c>
      <c r="K18" s="62">
        <f>ROUND('GS Pay - No Locality'!K13+('GS Pay - No Locality'!K13*$G$3),0)</f>
        <v>89450</v>
      </c>
    </row>
    <row r="19" spans="1:11" x14ac:dyDescent="0.2">
      <c r="A19" s="44">
        <v>13</v>
      </c>
      <c r="B19" s="62">
        <f>ROUND('GS Pay - No Locality'!B14+('GS Pay - No Locality'!B14*$G$3),0)</f>
        <v>81823</v>
      </c>
      <c r="C19" s="62">
        <f>ROUND('GS Pay - No Locality'!C14+('GS Pay - No Locality'!C14*$G$3),0)</f>
        <v>84550</v>
      </c>
      <c r="D19" s="62">
        <f>ROUND('GS Pay - No Locality'!D14+('GS Pay - No Locality'!D14*$G$3),0)</f>
        <v>87278</v>
      </c>
      <c r="E19" s="62">
        <f>ROUND('GS Pay - No Locality'!E14+('GS Pay - No Locality'!E14*$G$3),0)</f>
        <v>90005</v>
      </c>
      <c r="F19" s="62">
        <f>ROUND('GS Pay - No Locality'!F14+('GS Pay - No Locality'!F14*$G$3),0)</f>
        <v>92732</v>
      </c>
      <c r="G19" s="62">
        <f>ROUND('GS Pay - No Locality'!G14+('GS Pay - No Locality'!G14*$G$3),0)</f>
        <v>95459</v>
      </c>
      <c r="H19" s="62">
        <f>ROUND('GS Pay - No Locality'!H14+('GS Pay - No Locality'!H14*$G$3),0)</f>
        <v>98187</v>
      </c>
      <c r="I19" s="62">
        <f>ROUND('GS Pay - No Locality'!I14+('GS Pay - No Locality'!I14*$G$3),0)</f>
        <v>100914</v>
      </c>
      <c r="J19" s="62">
        <f>ROUND('GS Pay - No Locality'!J14+('GS Pay - No Locality'!J14*$G$3),0)</f>
        <v>103641</v>
      </c>
      <c r="K19" s="62">
        <f>ROUND('GS Pay - No Locality'!K14+('GS Pay - No Locality'!K14*$G$3),0)</f>
        <v>106369</v>
      </c>
    </row>
    <row r="20" spans="1:11" x14ac:dyDescent="0.2">
      <c r="A20" s="44">
        <v>14</v>
      </c>
      <c r="B20" s="62">
        <f>ROUND('GS Pay - No Locality'!B15+('GS Pay - No Locality'!B15*$G$3),0)</f>
        <v>96690</v>
      </c>
      <c r="C20" s="62">
        <f>ROUND('GS Pay - No Locality'!C15+('GS Pay - No Locality'!C15*$G$3),0)</f>
        <v>99913</v>
      </c>
      <c r="D20" s="62">
        <f>ROUND('GS Pay - No Locality'!D15+('GS Pay - No Locality'!D15*$G$3),0)</f>
        <v>103136</v>
      </c>
      <c r="E20" s="62">
        <f>ROUND('GS Pay - No Locality'!E15+('GS Pay - No Locality'!E15*$G$3),0)</f>
        <v>106358</v>
      </c>
      <c r="F20" s="62">
        <f>ROUND('GS Pay - No Locality'!F15+('GS Pay - No Locality'!F15*$G$3),0)</f>
        <v>109581</v>
      </c>
      <c r="G20" s="62">
        <f>ROUND('GS Pay - No Locality'!G15+('GS Pay - No Locality'!G15*$G$3),0)</f>
        <v>112804</v>
      </c>
      <c r="H20" s="62">
        <f>ROUND('GS Pay - No Locality'!H15+('GS Pay - No Locality'!H15*$G$3),0)</f>
        <v>116027</v>
      </c>
      <c r="I20" s="62">
        <f>ROUND('GS Pay - No Locality'!I15+('GS Pay - No Locality'!I15*$G$3),0)</f>
        <v>119249</v>
      </c>
      <c r="J20" s="62">
        <f>ROUND('GS Pay - No Locality'!J15+('GS Pay - No Locality'!J15*$G$3),0)</f>
        <v>122472</v>
      </c>
      <c r="K20" s="62">
        <f>ROUND('GS Pay - No Locality'!K15+('GS Pay - No Locality'!K15*$G$3),0)</f>
        <v>125695</v>
      </c>
    </row>
    <row r="21" spans="1:11" x14ac:dyDescent="0.2">
      <c r="A21" s="28"/>
    </row>
    <row r="22" spans="1:11" ht="12.75" customHeight="1" x14ac:dyDescent="0.2">
      <c r="A22" s="7"/>
      <c r="B22" s="7"/>
      <c r="C22" s="7"/>
      <c r="D22" s="7"/>
      <c r="E22" s="7"/>
      <c r="F22" s="7"/>
      <c r="G22" s="7"/>
      <c r="H22" s="7"/>
      <c r="I22" s="7"/>
      <c r="J22" s="7"/>
      <c r="K22" s="7"/>
    </row>
    <row r="23" spans="1:11" x14ac:dyDescent="0.2">
      <c r="A23" s="96" t="s">
        <v>110</v>
      </c>
      <c r="B23" s="7"/>
      <c r="C23" s="7"/>
      <c r="D23" s="7"/>
      <c r="E23" s="7"/>
      <c r="F23" s="7"/>
      <c r="G23" s="7"/>
      <c r="H23" s="7"/>
      <c r="I23" s="7"/>
      <c r="J23" s="7"/>
      <c r="K23" s="7"/>
    </row>
    <row r="24" spans="1:11" x14ac:dyDescent="0.2">
      <c r="A24" s="7"/>
      <c r="B24" s="7"/>
      <c r="C24" s="7"/>
      <c r="D24" s="7"/>
      <c r="E24" s="7"/>
      <c r="F24" s="7"/>
      <c r="G24" s="7"/>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sheetData>
  <sheetProtection password="CCE4" sheet="1"/>
  <mergeCells count="4">
    <mergeCell ref="E5:H5"/>
    <mergeCell ref="F6:G6"/>
    <mergeCell ref="B7:K7"/>
    <mergeCell ref="A2:K2"/>
  </mergeCells>
  <phoneticPr fontId="0" type="noConversion"/>
  <hyperlinks>
    <hyperlink ref="F6:G6" location="'Start Page'!C4"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2" width="7.140625" style="7" customWidth="1"/>
    <col min="3" max="3" width="13.85546875" style="7" customWidth="1"/>
    <col min="4" max="13" width="12.7109375" style="7" customWidth="1"/>
    <col min="14" max="16384" width="9.140625" style="7"/>
  </cols>
  <sheetData>
    <row r="1" spans="1:13" ht="25.5" customHeight="1" x14ac:dyDescent="0.4">
      <c r="E1" s="8">
        <f>'Start Page'!$C$58</f>
        <v>2012</v>
      </c>
      <c r="F1" s="9" t="s">
        <v>35</v>
      </c>
    </row>
    <row r="2" spans="1:13" ht="25.5" customHeight="1" x14ac:dyDescent="0.4">
      <c r="E2" s="8"/>
      <c r="G2" s="85" t="s">
        <v>100</v>
      </c>
      <c r="H2" s="10" t="str">
        <f>'Start Page'!C31</f>
        <v>Rest of the United States</v>
      </c>
    </row>
    <row r="3" spans="1:13" ht="25.5" customHeight="1" x14ac:dyDescent="0.4">
      <c r="G3" s="8">
        <f>'Start Page'!C16</f>
        <v>72</v>
      </c>
      <c r="H3" s="9" t="s">
        <v>40</v>
      </c>
    </row>
    <row r="4" spans="1:13" ht="12.75" customHeight="1" x14ac:dyDescent="0.2">
      <c r="F4" s="201" t="str">
        <f>IF(E1='GS Pay Calculator'!B2,"","Warning! These pay figures are now estimates only!")</f>
        <v/>
      </c>
      <c r="G4" s="201"/>
      <c r="H4" s="201"/>
      <c r="I4" s="201"/>
      <c r="J4" s="119"/>
    </row>
    <row r="5" spans="1:13" ht="12.75" customHeight="1" x14ac:dyDescent="0.2">
      <c r="G5" s="202" t="s">
        <v>135</v>
      </c>
      <c r="H5" s="202"/>
      <c r="I5" s="94"/>
      <c r="J5" s="94"/>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4" t="s">
        <v>30</v>
      </c>
      <c r="D7" s="15">
        <f>'GS Pay Scale'!B9</f>
        <v>24933</v>
      </c>
      <c r="E7" s="15">
        <f>'GS Pay Scale'!C9</f>
        <v>25764</v>
      </c>
      <c r="F7" s="15">
        <f>'GS Pay Scale'!D9</f>
        <v>26595</v>
      </c>
      <c r="G7" s="15">
        <f>'GS Pay Scale'!E9</f>
        <v>27426</v>
      </c>
      <c r="H7" s="15">
        <f>'GS Pay Scale'!F9</f>
        <v>28257</v>
      </c>
      <c r="I7" s="15">
        <f>'GS Pay Scale'!G9</f>
        <v>29088</v>
      </c>
      <c r="J7" s="15">
        <f>'GS Pay Scale'!H9</f>
        <v>29919</v>
      </c>
      <c r="K7" s="15">
        <f>'GS Pay Scale'!I9</f>
        <v>30750</v>
      </c>
      <c r="L7" s="15">
        <f>'GS Pay Scale'!J9</f>
        <v>31581</v>
      </c>
      <c r="M7" s="15">
        <f>'GS Pay Scale'!K9</f>
        <v>32412</v>
      </c>
    </row>
    <row r="8" spans="1:13" x14ac:dyDescent="0.2">
      <c r="A8" s="13"/>
      <c r="B8" s="13">
        <v>106</v>
      </c>
      <c r="C8" s="16" t="s">
        <v>41</v>
      </c>
      <c r="D8" s="17">
        <f t="shared" ref="D8:M8" si="0">D9*106</f>
        <v>959.30000000000007</v>
      </c>
      <c r="E8" s="17">
        <f t="shared" si="0"/>
        <v>991.09999999999991</v>
      </c>
      <c r="F8" s="17">
        <f t="shared" si="0"/>
        <v>1022.9000000000001</v>
      </c>
      <c r="G8" s="17">
        <f t="shared" si="0"/>
        <v>1054.6999999999998</v>
      </c>
      <c r="H8" s="17">
        <f t="shared" si="0"/>
        <v>1086.5</v>
      </c>
      <c r="I8" s="17">
        <f t="shared" si="0"/>
        <v>1118.3000000000002</v>
      </c>
      <c r="J8" s="17">
        <f t="shared" si="0"/>
        <v>1151.1599999999999</v>
      </c>
      <c r="K8" s="17">
        <f t="shared" si="0"/>
        <v>1182.96</v>
      </c>
      <c r="L8" s="17">
        <f t="shared" si="0"/>
        <v>1214.76</v>
      </c>
      <c r="M8" s="17">
        <f t="shared" si="0"/>
        <v>1246.56</v>
      </c>
    </row>
    <row r="9" spans="1:13" x14ac:dyDescent="0.2">
      <c r="A9" s="13"/>
      <c r="B9" s="13"/>
      <c r="C9" s="16" t="s">
        <v>13</v>
      </c>
      <c r="D9" s="17">
        <f>ROUND(D7/2756,2)</f>
        <v>9.0500000000000007</v>
      </c>
      <c r="E9" s="17">
        <f t="shared" ref="E9:M9" si="1">ROUND(E7/2756,2)</f>
        <v>9.35</v>
      </c>
      <c r="F9" s="17">
        <f t="shared" si="1"/>
        <v>9.65</v>
      </c>
      <c r="G9" s="17">
        <f t="shared" si="1"/>
        <v>9.9499999999999993</v>
      </c>
      <c r="H9" s="17">
        <f t="shared" si="1"/>
        <v>10.25</v>
      </c>
      <c r="I9" s="17">
        <f t="shared" si="1"/>
        <v>10.55</v>
      </c>
      <c r="J9" s="17">
        <f t="shared" si="1"/>
        <v>10.86</v>
      </c>
      <c r="K9" s="17">
        <f t="shared" si="1"/>
        <v>11.16</v>
      </c>
      <c r="L9" s="17">
        <f t="shared" si="1"/>
        <v>11.46</v>
      </c>
      <c r="M9" s="17">
        <f t="shared" si="1"/>
        <v>11.76</v>
      </c>
    </row>
    <row r="10" spans="1:13" x14ac:dyDescent="0.2">
      <c r="A10" s="18"/>
      <c r="B10" s="19">
        <f>($G$3-53)*2</f>
        <v>38</v>
      </c>
      <c r="C10" s="16" t="s">
        <v>42</v>
      </c>
      <c r="D10" s="17">
        <f>D11*$B$10</f>
        <v>516.04</v>
      </c>
      <c r="E10" s="17">
        <f t="shared" ref="E10:M10" si="2">E11*$B$10</f>
        <v>533.14</v>
      </c>
      <c r="F10" s="17">
        <f t="shared" si="2"/>
        <v>550.24</v>
      </c>
      <c r="G10" s="17">
        <f t="shared" si="2"/>
        <v>567.34</v>
      </c>
      <c r="H10" s="17">
        <f t="shared" si="2"/>
        <v>584.44000000000005</v>
      </c>
      <c r="I10" s="17">
        <f t="shared" si="2"/>
        <v>601.54</v>
      </c>
      <c r="J10" s="17">
        <f t="shared" si="2"/>
        <v>619.02</v>
      </c>
      <c r="K10" s="17">
        <f t="shared" si="2"/>
        <v>636.11999999999989</v>
      </c>
      <c r="L10" s="17">
        <f t="shared" si="2"/>
        <v>653.22</v>
      </c>
      <c r="M10" s="17">
        <f t="shared" si="2"/>
        <v>670.32</v>
      </c>
    </row>
    <row r="11" spans="1:13" x14ac:dyDescent="0.2">
      <c r="A11" s="13" t="s">
        <v>22</v>
      </c>
      <c r="B11" s="13"/>
      <c r="C11" s="16" t="s">
        <v>14</v>
      </c>
      <c r="D11" s="17">
        <f>IF(ROUND(D9*1.5,2)&lt;$G$122,ROUND(D9*1.5,2),IF($G$122&lt;D9,D9,$G$122))</f>
        <v>13.58</v>
      </c>
      <c r="E11" s="17">
        <f t="shared" ref="E11:M11" si="3">IF(ROUND(E9*1.5,2)&lt;$G$122,ROUND(E9*1.5,2),IF($G$122&lt;E9,E9,$G$122))</f>
        <v>14.03</v>
      </c>
      <c r="F11" s="17">
        <f t="shared" si="3"/>
        <v>14.48</v>
      </c>
      <c r="G11" s="17">
        <f t="shared" si="3"/>
        <v>14.93</v>
      </c>
      <c r="H11" s="17">
        <f t="shared" si="3"/>
        <v>15.38</v>
      </c>
      <c r="I11" s="17">
        <f t="shared" si="3"/>
        <v>15.83</v>
      </c>
      <c r="J11" s="17">
        <f t="shared" si="3"/>
        <v>16.29</v>
      </c>
      <c r="K11" s="17">
        <f t="shared" si="3"/>
        <v>16.739999999999998</v>
      </c>
      <c r="L11" s="17">
        <f t="shared" si="3"/>
        <v>17.190000000000001</v>
      </c>
      <c r="M11" s="17">
        <f t="shared" si="3"/>
        <v>17.64</v>
      </c>
    </row>
    <row r="12" spans="1:13" s="64" customFormat="1" x14ac:dyDescent="0.2">
      <c r="A12" s="63"/>
      <c r="B12" s="63"/>
      <c r="C12" s="32" t="s">
        <v>46</v>
      </c>
      <c r="D12" s="17">
        <f>ROUND(D9*'Start Page'!$F$33,2)*$B$13</f>
        <v>0</v>
      </c>
      <c r="E12" s="17">
        <f>ROUND(E9*'Start Page'!$F$33,2)*$B$13</f>
        <v>0</v>
      </c>
      <c r="F12" s="17">
        <f>ROUND(F9*'Start Page'!$F$33,2)*$B$13</f>
        <v>0</v>
      </c>
      <c r="G12" s="17">
        <f>ROUND(G9*'Start Page'!$F$33,2)*$B$13</f>
        <v>0</v>
      </c>
      <c r="H12" s="17">
        <f>ROUND(H9*'Start Page'!$F$33,2)*$B$13</f>
        <v>0</v>
      </c>
      <c r="I12" s="17">
        <f>ROUND(I9*'Start Page'!$F$33,2)*$B$13</f>
        <v>0</v>
      </c>
      <c r="J12" s="17">
        <f>ROUND(J9*'Start Page'!$F$33,2)*$B$13</f>
        <v>0</v>
      </c>
      <c r="K12" s="17">
        <f>ROUND(K9*'Start Page'!$F$33,2)*$B$13</f>
        <v>0</v>
      </c>
      <c r="L12" s="17">
        <f>ROUND(L9*'Start Page'!$F$33,2)*$B$13</f>
        <v>0</v>
      </c>
      <c r="M12" s="17">
        <f>ROUND(M9*'Start Page'!$F$33,2)*$B$13</f>
        <v>0</v>
      </c>
    </row>
    <row r="13" spans="1:13" x14ac:dyDescent="0.2">
      <c r="A13" s="13"/>
      <c r="B13" s="13">
        <f>B8+B10</f>
        <v>144</v>
      </c>
      <c r="C13" s="20" t="s">
        <v>17</v>
      </c>
      <c r="D13" s="21">
        <f>D8+D10+D12</f>
        <v>1475.3400000000001</v>
      </c>
      <c r="E13" s="21">
        <f t="shared" ref="E13:M13" si="4">E8+E10+E12</f>
        <v>1524.2399999999998</v>
      </c>
      <c r="F13" s="21">
        <f t="shared" si="4"/>
        <v>1573.14</v>
      </c>
      <c r="G13" s="21">
        <f t="shared" si="4"/>
        <v>1622.04</v>
      </c>
      <c r="H13" s="21">
        <f t="shared" si="4"/>
        <v>1670.94</v>
      </c>
      <c r="I13" s="21">
        <f t="shared" si="4"/>
        <v>1719.8400000000001</v>
      </c>
      <c r="J13" s="21">
        <f t="shared" si="4"/>
        <v>1770.1799999999998</v>
      </c>
      <c r="K13" s="21">
        <f t="shared" si="4"/>
        <v>1819.08</v>
      </c>
      <c r="L13" s="21">
        <f t="shared" si="4"/>
        <v>1867.98</v>
      </c>
      <c r="M13" s="21">
        <f t="shared" si="4"/>
        <v>1916.88</v>
      </c>
    </row>
    <row r="14" spans="1:13" x14ac:dyDescent="0.2">
      <c r="A14" s="13"/>
      <c r="B14" s="13"/>
      <c r="C14" s="20" t="s">
        <v>33</v>
      </c>
      <c r="D14" s="21">
        <f>D13*'Start Page'!$C$41</f>
        <v>38358.840000000004</v>
      </c>
      <c r="E14" s="21">
        <f>E13*'Start Page'!$C$41</f>
        <v>39630.239999999991</v>
      </c>
      <c r="F14" s="21">
        <f>F13*'Start Page'!$C$41</f>
        <v>40901.64</v>
      </c>
      <c r="G14" s="21">
        <f>G13*'Start Page'!$C$41</f>
        <v>42173.04</v>
      </c>
      <c r="H14" s="21">
        <f>H13*'Start Page'!$C$41</f>
        <v>43444.44</v>
      </c>
      <c r="I14" s="21">
        <f>I13*'Start Page'!$C$41</f>
        <v>44715.840000000004</v>
      </c>
      <c r="J14" s="21">
        <f>J13*'Start Page'!$C$41</f>
        <v>46024.679999999993</v>
      </c>
      <c r="K14" s="21">
        <f>K13*'Start Page'!$C$41</f>
        <v>47296.08</v>
      </c>
      <c r="L14" s="21">
        <f>L13*'Start Page'!$C$41</f>
        <v>48567.48</v>
      </c>
      <c r="M14" s="21">
        <f>M13*'Start Page'!$C$41</f>
        <v>49838.880000000005</v>
      </c>
    </row>
    <row r="15" spans="1:13" s="25" customFormat="1" x14ac:dyDescent="0.2">
      <c r="A15" s="22"/>
      <c r="B15" s="22"/>
      <c r="C15" s="23" t="s">
        <v>105</v>
      </c>
      <c r="D15" s="24">
        <f>D9*$B$13*'Start Page'!$C$41</f>
        <v>33883.200000000004</v>
      </c>
      <c r="E15" s="24">
        <f>E9*$B$13*'Start Page'!$C$41</f>
        <v>35006.399999999994</v>
      </c>
      <c r="F15" s="24">
        <f>F9*$B$13*'Start Page'!$C$41</f>
        <v>36129.600000000006</v>
      </c>
      <c r="G15" s="24">
        <f>G9*$B$13*'Start Page'!$C$41</f>
        <v>37252.799999999996</v>
      </c>
      <c r="H15" s="24">
        <f>H9*$B$13*'Start Page'!$C$41</f>
        <v>38376</v>
      </c>
      <c r="I15" s="24">
        <f>I9*$B$13*'Start Page'!$C$41</f>
        <v>39499.200000000004</v>
      </c>
      <c r="J15" s="24">
        <f>J9*$B$13*'Start Page'!$C$41</f>
        <v>40659.839999999997</v>
      </c>
      <c r="K15" s="24">
        <f>K9*$B$13*'Start Page'!$C$41</f>
        <v>41783.040000000001</v>
      </c>
      <c r="L15" s="24">
        <f>L9*$B$13*'Start Page'!$C$41</f>
        <v>42906.240000000005</v>
      </c>
      <c r="M15" s="123">
        <f>M9*$B$13*'Start Page'!$C$41</f>
        <v>44029.440000000002</v>
      </c>
    </row>
    <row r="16" spans="1:13" x14ac:dyDescent="0.2">
      <c r="A16" s="26"/>
      <c r="B16" s="13"/>
      <c r="C16" s="14" t="s">
        <v>30</v>
      </c>
      <c r="D16" s="15">
        <f>'GS Pay Scale'!B10</f>
        <v>27990</v>
      </c>
      <c r="E16" s="15">
        <f>'GS Pay Scale'!C10</f>
        <v>28922</v>
      </c>
      <c r="F16" s="15">
        <f>'GS Pay Scale'!D10</f>
        <v>29855</v>
      </c>
      <c r="G16" s="15">
        <f>'GS Pay Scale'!E10</f>
        <v>30788</v>
      </c>
      <c r="H16" s="15">
        <f>'GS Pay Scale'!F10</f>
        <v>31720</v>
      </c>
      <c r="I16" s="15">
        <f>'GS Pay Scale'!G10</f>
        <v>32653</v>
      </c>
      <c r="J16" s="15">
        <f>'GS Pay Scale'!H10</f>
        <v>33586</v>
      </c>
      <c r="K16" s="15">
        <f>'GS Pay Scale'!I10</f>
        <v>34519</v>
      </c>
      <c r="L16" s="15">
        <f>'GS Pay Scale'!J10</f>
        <v>35451</v>
      </c>
      <c r="M16" s="15">
        <f>'GS Pay Scale'!K10</f>
        <v>36384</v>
      </c>
    </row>
    <row r="17" spans="1:13" x14ac:dyDescent="0.2">
      <c r="A17" s="13"/>
      <c r="B17" s="13">
        <v>106</v>
      </c>
      <c r="C17" s="16" t="s">
        <v>41</v>
      </c>
      <c r="D17" s="17">
        <f t="shared" ref="D17:M17" si="5">D18*106</f>
        <v>1076.96</v>
      </c>
      <c r="E17" s="17">
        <f t="shared" si="5"/>
        <v>1111.94</v>
      </c>
      <c r="F17" s="17">
        <f t="shared" si="5"/>
        <v>1147.98</v>
      </c>
      <c r="G17" s="17">
        <f t="shared" si="5"/>
        <v>1184.02</v>
      </c>
      <c r="H17" s="17">
        <f t="shared" si="5"/>
        <v>1220.06</v>
      </c>
      <c r="I17" s="17">
        <f t="shared" si="5"/>
        <v>1256.0999999999999</v>
      </c>
      <c r="J17" s="17">
        <f t="shared" si="5"/>
        <v>1292.1399999999999</v>
      </c>
      <c r="K17" s="17">
        <f t="shared" si="5"/>
        <v>1328.1799999999998</v>
      </c>
      <c r="L17" s="17">
        <f t="shared" si="5"/>
        <v>1363.1599999999999</v>
      </c>
      <c r="M17" s="17">
        <f t="shared" si="5"/>
        <v>1399.1999999999998</v>
      </c>
    </row>
    <row r="18" spans="1:13" x14ac:dyDescent="0.2">
      <c r="A18" s="13"/>
      <c r="B18" s="13"/>
      <c r="C18" s="16" t="s">
        <v>13</v>
      </c>
      <c r="D18" s="17">
        <f>ROUND(D16/2756,2)</f>
        <v>10.16</v>
      </c>
      <c r="E18" s="17">
        <f t="shared" ref="E18:M18" si="6">ROUND(E16/2756,2)</f>
        <v>10.49</v>
      </c>
      <c r="F18" s="17">
        <f t="shared" si="6"/>
        <v>10.83</v>
      </c>
      <c r="G18" s="17">
        <f t="shared" si="6"/>
        <v>11.17</v>
      </c>
      <c r="H18" s="17">
        <f t="shared" si="6"/>
        <v>11.51</v>
      </c>
      <c r="I18" s="17">
        <f t="shared" si="6"/>
        <v>11.85</v>
      </c>
      <c r="J18" s="17">
        <f t="shared" si="6"/>
        <v>12.19</v>
      </c>
      <c r="K18" s="17">
        <f t="shared" si="6"/>
        <v>12.53</v>
      </c>
      <c r="L18" s="17">
        <f t="shared" si="6"/>
        <v>12.86</v>
      </c>
      <c r="M18" s="17">
        <f t="shared" si="6"/>
        <v>13.2</v>
      </c>
    </row>
    <row r="19" spans="1:13" x14ac:dyDescent="0.2">
      <c r="A19" s="18"/>
      <c r="B19" s="19">
        <f>($G$3-53)*2</f>
        <v>38</v>
      </c>
      <c r="C19" s="16" t="s">
        <v>42</v>
      </c>
      <c r="D19" s="17">
        <f t="shared" ref="D19:M19" si="7">D20*$B$10</f>
        <v>579.12</v>
      </c>
      <c r="E19" s="17">
        <f t="shared" si="7"/>
        <v>598.12</v>
      </c>
      <c r="F19" s="17">
        <f t="shared" si="7"/>
        <v>617.5</v>
      </c>
      <c r="G19" s="17">
        <f t="shared" si="7"/>
        <v>636.88000000000011</v>
      </c>
      <c r="H19" s="17">
        <f t="shared" si="7"/>
        <v>656.26</v>
      </c>
      <c r="I19" s="17">
        <f t="shared" si="7"/>
        <v>675.6400000000001</v>
      </c>
      <c r="J19" s="17">
        <f t="shared" si="7"/>
        <v>695.02</v>
      </c>
      <c r="K19" s="17">
        <f t="shared" si="7"/>
        <v>714.4</v>
      </c>
      <c r="L19" s="17">
        <f t="shared" si="7"/>
        <v>733.02</v>
      </c>
      <c r="M19" s="17">
        <f t="shared" si="7"/>
        <v>752.4</v>
      </c>
    </row>
    <row r="20" spans="1:13" x14ac:dyDescent="0.2">
      <c r="A20" s="13" t="s">
        <v>23</v>
      </c>
      <c r="B20" s="13"/>
      <c r="C20" s="16" t="s">
        <v>14</v>
      </c>
      <c r="D20" s="17">
        <f>IF(ROUND(D18*1.5,2)&lt;$G$122,ROUND(D18*1.5,2),IF($G$122&lt;D18,D18,$G$122))</f>
        <v>15.24</v>
      </c>
      <c r="E20" s="17">
        <f t="shared" ref="E20:M20" si="8">IF(ROUND(E18*1.5,2)&lt;$G$122,ROUND(E18*1.5,2),IF($G$122&lt;E18,E18,$G$122))</f>
        <v>15.74</v>
      </c>
      <c r="F20" s="17">
        <f t="shared" si="8"/>
        <v>16.25</v>
      </c>
      <c r="G20" s="17">
        <f t="shared" si="8"/>
        <v>16.760000000000002</v>
      </c>
      <c r="H20" s="17">
        <f t="shared" si="8"/>
        <v>17.27</v>
      </c>
      <c r="I20" s="17">
        <f t="shared" si="8"/>
        <v>17.78</v>
      </c>
      <c r="J20" s="17">
        <f t="shared" si="8"/>
        <v>18.29</v>
      </c>
      <c r="K20" s="17">
        <f t="shared" si="8"/>
        <v>18.8</v>
      </c>
      <c r="L20" s="17">
        <f t="shared" si="8"/>
        <v>19.29</v>
      </c>
      <c r="M20" s="17">
        <f t="shared" si="8"/>
        <v>19.8</v>
      </c>
    </row>
    <row r="21" spans="1:13" s="64" customFormat="1" x14ac:dyDescent="0.2">
      <c r="A21" s="63"/>
      <c r="B21" s="63"/>
      <c r="C21" s="32" t="s">
        <v>46</v>
      </c>
      <c r="D21" s="17">
        <f>ROUND(D18*'Start Page'!$F$33,2)*$B$13</f>
        <v>0</v>
      </c>
      <c r="E21" s="17">
        <f>ROUND(E18*'Start Page'!$F$33,2)*$B$13</f>
        <v>0</v>
      </c>
      <c r="F21" s="17">
        <f>ROUND(F18*'Start Page'!$F$33,2)*$B$13</f>
        <v>0</v>
      </c>
      <c r="G21" s="17">
        <f>ROUND(G18*'Start Page'!$F$33,2)*$B$13</f>
        <v>0</v>
      </c>
      <c r="H21" s="17">
        <f>ROUND(H18*'Start Page'!$F$33,2)*$B$13</f>
        <v>0</v>
      </c>
      <c r="I21" s="17">
        <f>ROUND(I18*'Start Page'!$F$33,2)*$B$13</f>
        <v>0</v>
      </c>
      <c r="J21" s="17">
        <f>ROUND(J18*'Start Page'!$F$33,2)*$B$13</f>
        <v>0</v>
      </c>
      <c r="K21" s="17">
        <f>ROUND(K18*'Start Page'!$F$33,2)*$B$13</f>
        <v>0</v>
      </c>
      <c r="L21" s="17">
        <f>ROUND(L18*'Start Page'!$F$33,2)*$B$13</f>
        <v>0</v>
      </c>
      <c r="M21" s="17">
        <f>ROUND(M18*'Start Page'!$F$33,2)*$B$13</f>
        <v>0</v>
      </c>
    </row>
    <row r="22" spans="1:13" x14ac:dyDescent="0.2">
      <c r="A22" s="13"/>
      <c r="B22" s="13">
        <f>B17+B19</f>
        <v>144</v>
      </c>
      <c r="C22" s="20" t="s">
        <v>17</v>
      </c>
      <c r="D22" s="21">
        <f t="shared" ref="D22:M22" si="9">D17+D19+D21</f>
        <v>1656.08</v>
      </c>
      <c r="E22" s="21">
        <f t="shared" si="9"/>
        <v>1710.06</v>
      </c>
      <c r="F22" s="21">
        <f t="shared" si="9"/>
        <v>1765.48</v>
      </c>
      <c r="G22" s="21">
        <f t="shared" si="9"/>
        <v>1820.9</v>
      </c>
      <c r="H22" s="21">
        <f t="shared" si="9"/>
        <v>1876.32</v>
      </c>
      <c r="I22" s="21">
        <f t="shared" si="9"/>
        <v>1931.74</v>
      </c>
      <c r="J22" s="21">
        <f t="shared" si="9"/>
        <v>1987.1599999999999</v>
      </c>
      <c r="K22" s="21">
        <f t="shared" si="9"/>
        <v>2042.58</v>
      </c>
      <c r="L22" s="21">
        <f t="shared" si="9"/>
        <v>2096.1799999999998</v>
      </c>
      <c r="M22" s="21">
        <f t="shared" si="9"/>
        <v>2151.6</v>
      </c>
    </row>
    <row r="23" spans="1:13" x14ac:dyDescent="0.2">
      <c r="A23" s="13"/>
      <c r="B23" s="13"/>
      <c r="C23" s="20" t="s">
        <v>33</v>
      </c>
      <c r="D23" s="21">
        <f>D22*'Start Page'!$C$41</f>
        <v>43058.080000000002</v>
      </c>
      <c r="E23" s="21">
        <f>E22*'Start Page'!$C$41</f>
        <v>44461.56</v>
      </c>
      <c r="F23" s="21">
        <f>F22*'Start Page'!$C$41</f>
        <v>45902.48</v>
      </c>
      <c r="G23" s="21">
        <f>G22*'Start Page'!$C$41</f>
        <v>47343.4</v>
      </c>
      <c r="H23" s="21">
        <f>H22*'Start Page'!$C$41</f>
        <v>48784.32</v>
      </c>
      <c r="I23" s="21">
        <f>I22*'Start Page'!$C$41</f>
        <v>50225.24</v>
      </c>
      <c r="J23" s="21">
        <f>J22*'Start Page'!$C$41</f>
        <v>51666.159999999996</v>
      </c>
      <c r="K23" s="21">
        <f>K22*'Start Page'!$C$41</f>
        <v>53107.08</v>
      </c>
      <c r="L23" s="21">
        <f>L22*'Start Page'!$C$41</f>
        <v>54500.679999999993</v>
      </c>
      <c r="M23" s="21">
        <f>M22*'Start Page'!$C$41</f>
        <v>55941.599999999999</v>
      </c>
    </row>
    <row r="24" spans="1:13" s="25" customFormat="1" x14ac:dyDescent="0.2">
      <c r="A24" s="22"/>
      <c r="B24" s="22"/>
      <c r="C24" s="23" t="s">
        <v>105</v>
      </c>
      <c r="D24" s="24">
        <f>D18*$B$13*'Start Page'!$C$41</f>
        <v>38039.040000000001</v>
      </c>
      <c r="E24" s="24">
        <f>E18*$B$13*'Start Page'!$C$41</f>
        <v>39274.559999999998</v>
      </c>
      <c r="F24" s="24">
        <f>F18*$B$13*'Start Page'!$C$41</f>
        <v>40547.519999999997</v>
      </c>
      <c r="G24" s="24">
        <f>G18*$B$13*'Start Page'!$C$41</f>
        <v>41820.480000000003</v>
      </c>
      <c r="H24" s="24">
        <f>H18*$B$13*'Start Page'!$C$41</f>
        <v>43093.440000000002</v>
      </c>
      <c r="I24" s="24">
        <f>I18*$B$13*'Start Page'!$C$41</f>
        <v>44366.399999999994</v>
      </c>
      <c r="J24" s="24">
        <f>J18*$B$13*'Start Page'!$C$41</f>
        <v>45639.360000000001</v>
      </c>
      <c r="K24" s="24">
        <f>K18*$B$13*'Start Page'!$C$41</f>
        <v>46912.32</v>
      </c>
      <c r="L24" s="24">
        <f>L18*$B$13*'Start Page'!$C$41</f>
        <v>48147.839999999997</v>
      </c>
      <c r="M24" s="123">
        <f>M18*$B$13*'Start Page'!$C$41</f>
        <v>49420.799999999996</v>
      </c>
    </row>
    <row r="25" spans="1:13" x14ac:dyDescent="0.2">
      <c r="A25" s="26"/>
      <c r="B25" s="13"/>
      <c r="C25" s="14" t="s">
        <v>30</v>
      </c>
      <c r="D25" s="15">
        <f>'GS Pay Scale'!B11</f>
        <v>31315</v>
      </c>
      <c r="E25" s="15">
        <f>'GS Pay Scale'!C11</f>
        <v>32359</v>
      </c>
      <c r="F25" s="15">
        <f>'GS Pay Scale'!D11</f>
        <v>33402</v>
      </c>
      <c r="G25" s="15">
        <f>'GS Pay Scale'!E11</f>
        <v>34445</v>
      </c>
      <c r="H25" s="15">
        <f>'GS Pay Scale'!F11</f>
        <v>35489</v>
      </c>
      <c r="I25" s="15">
        <f>'GS Pay Scale'!G11</f>
        <v>36532</v>
      </c>
      <c r="J25" s="15">
        <f>'GS Pay Scale'!H11</f>
        <v>37576</v>
      </c>
      <c r="K25" s="15">
        <f>'GS Pay Scale'!I11</f>
        <v>38619</v>
      </c>
      <c r="L25" s="15">
        <f>'GS Pay Scale'!J11</f>
        <v>39663</v>
      </c>
      <c r="M25" s="15">
        <f>'GS Pay Scale'!K11</f>
        <v>40706</v>
      </c>
    </row>
    <row r="26" spans="1:13" x14ac:dyDescent="0.2">
      <c r="A26" s="13"/>
      <c r="B26" s="13">
        <v>106</v>
      </c>
      <c r="C26" s="16" t="s">
        <v>41</v>
      </c>
      <c r="D26" s="17">
        <f t="shared" ref="D26:M26" si="10">D27*106</f>
        <v>1204.1599999999999</v>
      </c>
      <c r="E26" s="17">
        <f t="shared" si="10"/>
        <v>1244.44</v>
      </c>
      <c r="F26" s="17">
        <f t="shared" si="10"/>
        <v>1284.72</v>
      </c>
      <c r="G26" s="17">
        <f t="shared" si="10"/>
        <v>1325</v>
      </c>
      <c r="H26" s="17">
        <f t="shared" si="10"/>
        <v>1365.28</v>
      </c>
      <c r="I26" s="17">
        <f t="shared" si="10"/>
        <v>1405.56</v>
      </c>
      <c r="J26" s="17">
        <f t="shared" si="10"/>
        <v>1444.78</v>
      </c>
      <c r="K26" s="17">
        <f t="shared" si="10"/>
        <v>1485.06</v>
      </c>
      <c r="L26" s="17">
        <f t="shared" si="10"/>
        <v>1525.3400000000001</v>
      </c>
      <c r="M26" s="17">
        <f t="shared" si="10"/>
        <v>1565.62</v>
      </c>
    </row>
    <row r="27" spans="1:13" x14ac:dyDescent="0.2">
      <c r="A27" s="13"/>
      <c r="B27" s="13"/>
      <c r="C27" s="16" t="s">
        <v>13</v>
      </c>
      <c r="D27" s="17">
        <f>ROUND(D25/2756,2)</f>
        <v>11.36</v>
      </c>
      <c r="E27" s="17">
        <f t="shared" ref="E27:M27" si="11">ROUND(E25/2756,2)</f>
        <v>11.74</v>
      </c>
      <c r="F27" s="17">
        <f t="shared" si="11"/>
        <v>12.12</v>
      </c>
      <c r="G27" s="17">
        <f t="shared" si="11"/>
        <v>12.5</v>
      </c>
      <c r="H27" s="17">
        <f t="shared" si="11"/>
        <v>12.88</v>
      </c>
      <c r="I27" s="17">
        <f t="shared" si="11"/>
        <v>13.26</v>
      </c>
      <c r="J27" s="17">
        <f t="shared" si="11"/>
        <v>13.63</v>
      </c>
      <c r="K27" s="17">
        <f t="shared" si="11"/>
        <v>14.01</v>
      </c>
      <c r="L27" s="17">
        <f t="shared" si="11"/>
        <v>14.39</v>
      </c>
      <c r="M27" s="17">
        <f t="shared" si="11"/>
        <v>14.77</v>
      </c>
    </row>
    <row r="28" spans="1:13" x14ac:dyDescent="0.2">
      <c r="A28" s="18"/>
      <c r="B28" s="19">
        <f>($G$3-53)*2</f>
        <v>38</v>
      </c>
      <c r="C28" s="16" t="s">
        <v>42</v>
      </c>
      <c r="D28" s="17">
        <f t="shared" ref="D28:M28" si="12">D29*$B$10</f>
        <v>647.52</v>
      </c>
      <c r="E28" s="17">
        <f t="shared" si="12"/>
        <v>669.18</v>
      </c>
      <c r="F28" s="17">
        <f t="shared" si="12"/>
        <v>690.84</v>
      </c>
      <c r="G28" s="17">
        <f t="shared" si="12"/>
        <v>712.5</v>
      </c>
      <c r="H28" s="17">
        <f t="shared" si="12"/>
        <v>734.16</v>
      </c>
      <c r="I28" s="17">
        <f t="shared" si="12"/>
        <v>755.82</v>
      </c>
      <c r="J28" s="17">
        <f t="shared" si="12"/>
        <v>777.1</v>
      </c>
      <c r="K28" s="17">
        <f t="shared" si="12"/>
        <v>798.76</v>
      </c>
      <c r="L28" s="17">
        <f t="shared" si="12"/>
        <v>820.42</v>
      </c>
      <c r="M28" s="17">
        <f t="shared" si="12"/>
        <v>842.08</v>
      </c>
    </row>
    <row r="29" spans="1:13" x14ac:dyDescent="0.2">
      <c r="A29" s="13" t="s">
        <v>24</v>
      </c>
      <c r="B29" s="13"/>
      <c r="C29" s="16" t="s">
        <v>14</v>
      </c>
      <c r="D29" s="17">
        <f>IF(ROUND(D27*1.5,2)&lt;$G$122,ROUND(D27*1.5,2),IF($G$122&lt;D27,D27,$G$122))</f>
        <v>17.04</v>
      </c>
      <c r="E29" s="17">
        <f t="shared" ref="E29:M29" si="13">IF(ROUND(E27*1.5,2)&lt;$G$122,ROUND(E27*1.5,2),IF($G$122&lt;E27,E27,$G$122))</f>
        <v>17.61</v>
      </c>
      <c r="F29" s="17">
        <f t="shared" si="13"/>
        <v>18.18</v>
      </c>
      <c r="G29" s="17">
        <f t="shared" si="13"/>
        <v>18.75</v>
      </c>
      <c r="H29" s="17">
        <f t="shared" si="13"/>
        <v>19.32</v>
      </c>
      <c r="I29" s="17">
        <f t="shared" si="13"/>
        <v>19.89</v>
      </c>
      <c r="J29" s="17">
        <f t="shared" si="13"/>
        <v>20.45</v>
      </c>
      <c r="K29" s="17">
        <f t="shared" si="13"/>
        <v>21.02</v>
      </c>
      <c r="L29" s="17">
        <f t="shared" si="13"/>
        <v>21.59</v>
      </c>
      <c r="M29" s="17">
        <f t="shared" si="13"/>
        <v>22.16</v>
      </c>
    </row>
    <row r="30" spans="1:13" s="64" customFormat="1" x14ac:dyDescent="0.2">
      <c r="A30" s="63"/>
      <c r="B30" s="63"/>
      <c r="C30" s="32" t="s">
        <v>46</v>
      </c>
      <c r="D30" s="17">
        <f>ROUND(D27*'Start Page'!$F$33,2)*$B$13</f>
        <v>0</v>
      </c>
      <c r="E30" s="17">
        <f>ROUND(E27*'Start Page'!$F$33,2)*$B$13</f>
        <v>0</v>
      </c>
      <c r="F30" s="17">
        <f>ROUND(F27*'Start Page'!$F$33,2)*$B$13</f>
        <v>0</v>
      </c>
      <c r="G30" s="17">
        <f>ROUND(G27*'Start Page'!$F$33,2)*$B$13</f>
        <v>0</v>
      </c>
      <c r="H30" s="17">
        <f>ROUND(H27*'Start Page'!$F$33,2)*$B$13</f>
        <v>0</v>
      </c>
      <c r="I30" s="17">
        <f>ROUND(I27*'Start Page'!$F$33,2)*$B$13</f>
        <v>0</v>
      </c>
      <c r="J30" s="17">
        <f>ROUND(J27*'Start Page'!$F$33,2)*$B$13</f>
        <v>0</v>
      </c>
      <c r="K30" s="17">
        <f>ROUND(K27*'Start Page'!$F$33,2)*$B$13</f>
        <v>0</v>
      </c>
      <c r="L30" s="17">
        <f>ROUND(L27*'Start Page'!$F$33,2)*$B$13</f>
        <v>0</v>
      </c>
      <c r="M30" s="17">
        <f>ROUND(M27*'Start Page'!$F$33,2)*$B$13</f>
        <v>0</v>
      </c>
    </row>
    <row r="31" spans="1:13" x14ac:dyDescent="0.2">
      <c r="A31" s="13"/>
      <c r="B31" s="13">
        <f>B26+B28</f>
        <v>144</v>
      </c>
      <c r="C31" s="20" t="s">
        <v>17</v>
      </c>
      <c r="D31" s="21">
        <f t="shared" ref="D31:M31" si="14">D26+D28+D30</f>
        <v>1851.6799999999998</v>
      </c>
      <c r="E31" s="21">
        <f t="shared" si="14"/>
        <v>1913.62</v>
      </c>
      <c r="F31" s="21">
        <f t="shared" si="14"/>
        <v>1975.56</v>
      </c>
      <c r="G31" s="21">
        <f t="shared" si="14"/>
        <v>2037.5</v>
      </c>
      <c r="H31" s="21">
        <f t="shared" si="14"/>
        <v>2099.44</v>
      </c>
      <c r="I31" s="21">
        <f t="shared" si="14"/>
        <v>2161.38</v>
      </c>
      <c r="J31" s="21">
        <f t="shared" si="14"/>
        <v>2221.88</v>
      </c>
      <c r="K31" s="21">
        <f t="shared" si="14"/>
        <v>2283.8199999999997</v>
      </c>
      <c r="L31" s="21">
        <f t="shared" si="14"/>
        <v>2345.7600000000002</v>
      </c>
      <c r="M31" s="21">
        <f t="shared" si="14"/>
        <v>2407.6999999999998</v>
      </c>
    </row>
    <row r="32" spans="1:13" x14ac:dyDescent="0.2">
      <c r="A32" s="13"/>
      <c r="B32" s="13"/>
      <c r="C32" s="20" t="s">
        <v>33</v>
      </c>
      <c r="D32" s="21">
        <f>D31*'Start Page'!$C$41</f>
        <v>48143.679999999993</v>
      </c>
      <c r="E32" s="21">
        <f>E31*'Start Page'!$C$41</f>
        <v>49754.119999999995</v>
      </c>
      <c r="F32" s="21">
        <f>F31*'Start Page'!$C$41</f>
        <v>51364.56</v>
      </c>
      <c r="G32" s="21">
        <f>G31*'Start Page'!$C$41</f>
        <v>52975</v>
      </c>
      <c r="H32" s="21">
        <f>H31*'Start Page'!$C$41</f>
        <v>54585.440000000002</v>
      </c>
      <c r="I32" s="21">
        <f>I31*'Start Page'!$C$41</f>
        <v>56195.880000000005</v>
      </c>
      <c r="J32" s="21">
        <f>J31*'Start Page'!$C$41</f>
        <v>57768.880000000005</v>
      </c>
      <c r="K32" s="21">
        <f>K31*'Start Page'!$C$41</f>
        <v>59379.319999999992</v>
      </c>
      <c r="L32" s="21">
        <f>L31*'Start Page'!$C$41</f>
        <v>60989.760000000009</v>
      </c>
      <c r="M32" s="21">
        <f>M31*'Start Page'!$C$41</f>
        <v>62600.2</v>
      </c>
    </row>
    <row r="33" spans="1:13" s="25" customFormat="1" x14ac:dyDescent="0.2">
      <c r="A33" s="22"/>
      <c r="B33" s="22"/>
      <c r="C33" s="23" t="s">
        <v>105</v>
      </c>
      <c r="D33" s="24">
        <f>D27*$B$13*'Start Page'!$C$41</f>
        <v>42531.839999999997</v>
      </c>
      <c r="E33" s="24">
        <f>E27*$B$13*'Start Page'!$C$41</f>
        <v>43954.559999999998</v>
      </c>
      <c r="F33" s="24">
        <f>F27*$B$13*'Start Page'!$C$41</f>
        <v>45377.279999999999</v>
      </c>
      <c r="G33" s="24">
        <f>G27*$B$13*'Start Page'!$C$41</f>
        <v>46800</v>
      </c>
      <c r="H33" s="24">
        <f>H27*$B$13*'Start Page'!$C$41</f>
        <v>48222.720000000001</v>
      </c>
      <c r="I33" s="24">
        <f>I27*$B$13*'Start Page'!$C$41</f>
        <v>49645.440000000002</v>
      </c>
      <c r="J33" s="24">
        <f>J27*$B$13*'Start Page'!$C$41</f>
        <v>51030.720000000001</v>
      </c>
      <c r="K33" s="24">
        <f>K27*$B$13*'Start Page'!$C$41</f>
        <v>52453.440000000002</v>
      </c>
      <c r="L33" s="24">
        <f>L27*$B$13*'Start Page'!$C$41</f>
        <v>53876.159999999996</v>
      </c>
      <c r="M33" s="123">
        <f>M27*$B$13*'Start Page'!$C$41</f>
        <v>55298.880000000005</v>
      </c>
    </row>
    <row r="34" spans="1:13" x14ac:dyDescent="0.2">
      <c r="A34" s="26"/>
      <c r="B34" s="13"/>
      <c r="C34" s="14" t="s">
        <v>30</v>
      </c>
      <c r="D34" s="15">
        <f>'GS Pay Scale'!B12</f>
        <v>34907</v>
      </c>
      <c r="E34" s="15">
        <f>'GS Pay Scale'!C12</f>
        <v>36070</v>
      </c>
      <c r="F34" s="15">
        <f>'GS Pay Scale'!D12</f>
        <v>37233</v>
      </c>
      <c r="G34" s="15">
        <f>'GS Pay Scale'!E12</f>
        <v>38397</v>
      </c>
      <c r="H34" s="15">
        <f>'GS Pay Scale'!F12</f>
        <v>39560</v>
      </c>
      <c r="I34" s="15">
        <f>'GS Pay Scale'!G12</f>
        <v>40723</v>
      </c>
      <c r="J34" s="15">
        <f>'GS Pay Scale'!H12</f>
        <v>41886</v>
      </c>
      <c r="K34" s="15">
        <f>'GS Pay Scale'!I12</f>
        <v>43050</v>
      </c>
      <c r="L34" s="15">
        <f>'GS Pay Scale'!J12</f>
        <v>44213</v>
      </c>
      <c r="M34" s="15">
        <f>'GS Pay Scale'!K12</f>
        <v>45376</v>
      </c>
    </row>
    <row r="35" spans="1:13" x14ac:dyDescent="0.2">
      <c r="A35" s="13"/>
      <c r="B35" s="13">
        <v>106</v>
      </c>
      <c r="C35" s="16" t="s">
        <v>41</v>
      </c>
      <c r="D35" s="17">
        <f t="shared" ref="D35:M35" si="15">D36*106</f>
        <v>1343.02</v>
      </c>
      <c r="E35" s="17">
        <f t="shared" si="15"/>
        <v>1387.54</v>
      </c>
      <c r="F35" s="17">
        <f t="shared" si="15"/>
        <v>1432.06</v>
      </c>
      <c r="G35" s="17">
        <f t="shared" si="15"/>
        <v>1476.58</v>
      </c>
      <c r="H35" s="17">
        <f t="shared" si="15"/>
        <v>1521.1</v>
      </c>
      <c r="I35" s="17">
        <f t="shared" si="15"/>
        <v>1566.6799999999998</v>
      </c>
      <c r="J35" s="17">
        <f t="shared" si="15"/>
        <v>1611.1999999999998</v>
      </c>
      <c r="K35" s="17">
        <f t="shared" si="15"/>
        <v>1655.72</v>
      </c>
      <c r="L35" s="17">
        <f t="shared" si="15"/>
        <v>1700.24</v>
      </c>
      <c r="M35" s="17">
        <f t="shared" si="15"/>
        <v>1744.76</v>
      </c>
    </row>
    <row r="36" spans="1:13" x14ac:dyDescent="0.2">
      <c r="A36" s="13"/>
      <c r="B36" s="13"/>
      <c r="C36" s="16" t="s">
        <v>13</v>
      </c>
      <c r="D36" s="17">
        <f>ROUND(D34/2756,2)</f>
        <v>12.67</v>
      </c>
      <c r="E36" s="17">
        <f t="shared" ref="E36:M36" si="16">ROUND(E34/2756,2)</f>
        <v>13.09</v>
      </c>
      <c r="F36" s="17">
        <f t="shared" si="16"/>
        <v>13.51</v>
      </c>
      <c r="G36" s="17">
        <f t="shared" si="16"/>
        <v>13.93</v>
      </c>
      <c r="H36" s="17">
        <f t="shared" si="16"/>
        <v>14.35</v>
      </c>
      <c r="I36" s="17">
        <f t="shared" si="16"/>
        <v>14.78</v>
      </c>
      <c r="J36" s="17">
        <f t="shared" si="16"/>
        <v>15.2</v>
      </c>
      <c r="K36" s="17">
        <f t="shared" si="16"/>
        <v>15.62</v>
      </c>
      <c r="L36" s="17">
        <f t="shared" si="16"/>
        <v>16.04</v>
      </c>
      <c r="M36" s="17">
        <f t="shared" si="16"/>
        <v>16.46</v>
      </c>
    </row>
    <row r="37" spans="1:13" x14ac:dyDescent="0.2">
      <c r="A37" s="18"/>
      <c r="B37" s="19">
        <f>($G$3-53)*2</f>
        <v>38</v>
      </c>
      <c r="C37" s="16" t="s">
        <v>42</v>
      </c>
      <c r="D37" s="17">
        <f t="shared" ref="D37:M37" si="17">D38*$B$10</f>
        <v>722.38000000000011</v>
      </c>
      <c r="E37" s="17">
        <f t="shared" si="17"/>
        <v>746.32</v>
      </c>
      <c r="F37" s="17">
        <f t="shared" si="17"/>
        <v>770.26</v>
      </c>
      <c r="G37" s="17">
        <f t="shared" si="17"/>
        <v>794.19999999999993</v>
      </c>
      <c r="H37" s="17">
        <f t="shared" si="17"/>
        <v>818.1400000000001</v>
      </c>
      <c r="I37" s="17">
        <f t="shared" si="17"/>
        <v>842.46</v>
      </c>
      <c r="J37" s="17">
        <f t="shared" si="17"/>
        <v>866.4</v>
      </c>
      <c r="K37" s="17">
        <f t="shared" si="17"/>
        <v>890.34</v>
      </c>
      <c r="L37" s="17">
        <f t="shared" si="17"/>
        <v>914.28</v>
      </c>
      <c r="M37" s="17">
        <f t="shared" si="17"/>
        <v>938.22</v>
      </c>
    </row>
    <row r="38" spans="1:13" x14ac:dyDescent="0.2">
      <c r="A38" s="13" t="s">
        <v>18</v>
      </c>
      <c r="B38" s="13"/>
      <c r="C38" s="16" t="s">
        <v>14</v>
      </c>
      <c r="D38" s="17">
        <f>IF(ROUND(D36*1.5,2)&lt;$G$122,ROUND(D36*1.5,2),IF($G$122&lt;D36,D36,$G$122))</f>
        <v>19.010000000000002</v>
      </c>
      <c r="E38" s="17">
        <f t="shared" ref="E38:M38" si="18">IF(ROUND(E36*1.5,2)&lt;$G$122,ROUND(E36*1.5,2),IF($G$122&lt;E36,E36,$G$122))</f>
        <v>19.64</v>
      </c>
      <c r="F38" s="17">
        <f t="shared" si="18"/>
        <v>20.27</v>
      </c>
      <c r="G38" s="17">
        <f t="shared" si="18"/>
        <v>20.9</v>
      </c>
      <c r="H38" s="17">
        <f t="shared" si="18"/>
        <v>21.53</v>
      </c>
      <c r="I38" s="17">
        <f t="shared" si="18"/>
        <v>22.17</v>
      </c>
      <c r="J38" s="17">
        <f t="shared" si="18"/>
        <v>22.8</v>
      </c>
      <c r="K38" s="17">
        <f t="shared" si="18"/>
        <v>23.43</v>
      </c>
      <c r="L38" s="17">
        <f t="shared" si="18"/>
        <v>24.06</v>
      </c>
      <c r="M38" s="17">
        <f t="shared" si="18"/>
        <v>24.69</v>
      </c>
    </row>
    <row r="39" spans="1:13" s="64" customFormat="1" x14ac:dyDescent="0.2">
      <c r="A39" s="63"/>
      <c r="B39" s="63"/>
      <c r="C39" s="32" t="s">
        <v>46</v>
      </c>
      <c r="D39" s="17">
        <f>ROUND(D36*'Start Page'!$F$33,2)*$B$13</f>
        <v>0</v>
      </c>
      <c r="E39" s="17">
        <f>ROUND(E36*'Start Page'!$F$33,2)*$B$13</f>
        <v>0</v>
      </c>
      <c r="F39" s="17">
        <f>ROUND(F36*'Start Page'!$F$33,2)*$B$13</f>
        <v>0</v>
      </c>
      <c r="G39" s="17">
        <f>ROUND(G36*'Start Page'!$F$33,2)*$B$13</f>
        <v>0</v>
      </c>
      <c r="H39" s="17">
        <f>ROUND(H36*'Start Page'!$F$33,2)*$B$13</f>
        <v>0</v>
      </c>
      <c r="I39" s="17">
        <f>ROUND(I36*'Start Page'!$F$33,2)*$B$13</f>
        <v>0</v>
      </c>
      <c r="J39" s="17">
        <f>ROUND(J36*'Start Page'!$F$33,2)*$B$13</f>
        <v>0</v>
      </c>
      <c r="K39" s="17">
        <f>ROUND(K36*'Start Page'!$F$33,2)*$B$13</f>
        <v>0</v>
      </c>
      <c r="L39" s="17">
        <f>ROUND(L36*'Start Page'!$F$33,2)*$B$13</f>
        <v>0</v>
      </c>
      <c r="M39" s="17">
        <f>ROUND(M36*'Start Page'!$F$33,2)*$B$13</f>
        <v>0</v>
      </c>
    </row>
    <row r="40" spans="1:13" x14ac:dyDescent="0.2">
      <c r="A40" s="13"/>
      <c r="B40" s="13">
        <f>B35+B37</f>
        <v>144</v>
      </c>
      <c r="C40" s="20" t="s">
        <v>17</v>
      </c>
      <c r="D40" s="21">
        <f t="shared" ref="D40:M40" si="19">D35+D37+D39</f>
        <v>2065.4</v>
      </c>
      <c r="E40" s="21">
        <f t="shared" si="19"/>
        <v>2133.86</v>
      </c>
      <c r="F40" s="21">
        <f t="shared" si="19"/>
        <v>2202.3199999999997</v>
      </c>
      <c r="G40" s="21">
        <f t="shared" si="19"/>
        <v>2270.7799999999997</v>
      </c>
      <c r="H40" s="21">
        <f t="shared" si="19"/>
        <v>2339.2399999999998</v>
      </c>
      <c r="I40" s="21">
        <f t="shared" si="19"/>
        <v>2409.14</v>
      </c>
      <c r="J40" s="21">
        <f t="shared" si="19"/>
        <v>2477.6</v>
      </c>
      <c r="K40" s="21">
        <f t="shared" si="19"/>
        <v>2546.06</v>
      </c>
      <c r="L40" s="21">
        <f t="shared" si="19"/>
        <v>2614.52</v>
      </c>
      <c r="M40" s="21">
        <f t="shared" si="19"/>
        <v>2682.98</v>
      </c>
    </row>
    <row r="41" spans="1:13" x14ac:dyDescent="0.2">
      <c r="A41" s="13"/>
      <c r="B41" s="13"/>
      <c r="C41" s="20" t="s">
        <v>33</v>
      </c>
      <c r="D41" s="21">
        <f>D40*'Start Page'!$C$41</f>
        <v>53700.4</v>
      </c>
      <c r="E41" s="21">
        <f>E40*'Start Page'!$C$41</f>
        <v>55480.36</v>
      </c>
      <c r="F41" s="21">
        <f>F40*'Start Page'!$C$41</f>
        <v>57260.319999999992</v>
      </c>
      <c r="G41" s="21">
        <f>G40*'Start Page'!$C$41</f>
        <v>59040.279999999992</v>
      </c>
      <c r="H41" s="21">
        <f>H40*'Start Page'!$C$41</f>
        <v>60820.239999999991</v>
      </c>
      <c r="I41" s="21">
        <f>I40*'Start Page'!$C$41</f>
        <v>62637.64</v>
      </c>
      <c r="J41" s="21">
        <f>J40*'Start Page'!$C$41</f>
        <v>64417.599999999999</v>
      </c>
      <c r="K41" s="21">
        <f>K40*'Start Page'!$C$41</f>
        <v>66197.56</v>
      </c>
      <c r="L41" s="21">
        <f>L40*'Start Page'!$C$41</f>
        <v>67977.52</v>
      </c>
      <c r="M41" s="21">
        <f>M40*'Start Page'!$C$41</f>
        <v>69757.48</v>
      </c>
    </row>
    <row r="42" spans="1:13" s="25" customFormat="1" x14ac:dyDescent="0.2">
      <c r="A42" s="22"/>
      <c r="B42" s="22"/>
      <c r="C42" s="23" t="s">
        <v>105</v>
      </c>
      <c r="D42" s="24">
        <f>D36*$B$13*'Start Page'!$C$41</f>
        <v>47436.480000000003</v>
      </c>
      <c r="E42" s="24">
        <f>E36*$B$13*'Start Page'!$C$41</f>
        <v>49008.959999999999</v>
      </c>
      <c r="F42" s="24">
        <f>F36*$B$13*'Start Page'!$C$41</f>
        <v>50581.440000000002</v>
      </c>
      <c r="G42" s="24">
        <f>G36*$B$13*'Start Page'!$C$41</f>
        <v>52153.919999999998</v>
      </c>
      <c r="H42" s="24">
        <f>H36*$B$13*'Start Page'!$C$41</f>
        <v>53726.400000000001</v>
      </c>
      <c r="I42" s="24">
        <f>I36*$B$13*'Start Page'!$C$41</f>
        <v>55336.319999999992</v>
      </c>
      <c r="J42" s="24">
        <f>J36*$B$13*'Start Page'!$C$41</f>
        <v>56908.799999999996</v>
      </c>
      <c r="K42" s="24">
        <f>K36*$B$13*'Start Page'!$C$41</f>
        <v>58481.279999999992</v>
      </c>
      <c r="L42" s="24">
        <f>L36*$B$13*'Start Page'!$C$41</f>
        <v>60053.759999999995</v>
      </c>
      <c r="M42" s="123">
        <f>M36*$B$13*'Start Page'!$C$41</f>
        <v>61626.240000000005</v>
      </c>
    </row>
    <row r="43" spans="1:13" x14ac:dyDescent="0.2">
      <c r="A43" s="13"/>
      <c r="B43" s="13"/>
      <c r="C43" s="14" t="s">
        <v>30</v>
      </c>
      <c r="D43" s="15">
        <f>'GS Pay Scale'!B13</f>
        <v>38790</v>
      </c>
      <c r="E43" s="15">
        <f>'GS Pay Scale'!C13</f>
        <v>40084</v>
      </c>
      <c r="F43" s="15">
        <f>'GS Pay Scale'!D13</f>
        <v>41377</v>
      </c>
      <c r="G43" s="15">
        <f>'GS Pay Scale'!E13</f>
        <v>42671</v>
      </c>
      <c r="H43" s="15">
        <f>'GS Pay Scale'!F13</f>
        <v>43964</v>
      </c>
      <c r="I43" s="15">
        <f>'GS Pay Scale'!G13</f>
        <v>45258</v>
      </c>
      <c r="J43" s="15">
        <f>'GS Pay Scale'!H13</f>
        <v>46551</v>
      </c>
      <c r="K43" s="15">
        <f>'GS Pay Scale'!I13</f>
        <v>47844</v>
      </c>
      <c r="L43" s="15">
        <f>'GS Pay Scale'!J13</f>
        <v>49138</v>
      </c>
      <c r="M43" s="15">
        <f>'GS Pay Scale'!K13</f>
        <v>50431</v>
      </c>
    </row>
    <row r="44" spans="1:13" x14ac:dyDescent="0.2">
      <c r="A44" s="13"/>
      <c r="B44" s="13">
        <v>106</v>
      </c>
      <c r="C44" s="16" t="s">
        <v>41</v>
      </c>
      <c r="D44" s="17">
        <f t="shared" ref="D44:M44" si="20">D45*106</f>
        <v>1491.42</v>
      </c>
      <c r="E44" s="17">
        <f t="shared" si="20"/>
        <v>1541.24</v>
      </c>
      <c r="F44" s="17">
        <f t="shared" si="20"/>
        <v>1591.06</v>
      </c>
      <c r="G44" s="17">
        <f t="shared" si="20"/>
        <v>1640.88</v>
      </c>
      <c r="H44" s="17">
        <f t="shared" si="20"/>
        <v>1690.6999999999998</v>
      </c>
      <c r="I44" s="17">
        <f t="shared" si="20"/>
        <v>1740.5200000000002</v>
      </c>
      <c r="J44" s="17">
        <f t="shared" si="20"/>
        <v>1790.3400000000001</v>
      </c>
      <c r="K44" s="17">
        <f t="shared" si="20"/>
        <v>1840.1599999999999</v>
      </c>
      <c r="L44" s="17">
        <f t="shared" si="20"/>
        <v>1889.9799999999998</v>
      </c>
      <c r="M44" s="17">
        <f t="shared" si="20"/>
        <v>1939.8000000000002</v>
      </c>
    </row>
    <row r="45" spans="1:13" x14ac:dyDescent="0.2">
      <c r="A45" s="13"/>
      <c r="B45" s="13"/>
      <c r="C45" s="16" t="s">
        <v>13</v>
      </c>
      <c r="D45" s="17">
        <f>ROUND(D43/2756,2)</f>
        <v>14.07</v>
      </c>
      <c r="E45" s="17">
        <f t="shared" ref="E45:M45" si="21">ROUND(E43/2756,2)</f>
        <v>14.54</v>
      </c>
      <c r="F45" s="17">
        <f t="shared" si="21"/>
        <v>15.01</v>
      </c>
      <c r="G45" s="17">
        <f t="shared" si="21"/>
        <v>15.48</v>
      </c>
      <c r="H45" s="17">
        <f t="shared" si="21"/>
        <v>15.95</v>
      </c>
      <c r="I45" s="17">
        <f t="shared" si="21"/>
        <v>16.420000000000002</v>
      </c>
      <c r="J45" s="17">
        <f t="shared" si="21"/>
        <v>16.89</v>
      </c>
      <c r="K45" s="17">
        <f t="shared" si="21"/>
        <v>17.36</v>
      </c>
      <c r="L45" s="17">
        <f t="shared" si="21"/>
        <v>17.829999999999998</v>
      </c>
      <c r="M45" s="17">
        <f t="shared" si="21"/>
        <v>18.3</v>
      </c>
    </row>
    <row r="46" spans="1:13" x14ac:dyDescent="0.2">
      <c r="A46" s="18"/>
      <c r="B46" s="19">
        <f>($G$3-53)*2</f>
        <v>38</v>
      </c>
      <c r="C46" s="16" t="s">
        <v>42</v>
      </c>
      <c r="D46" s="17">
        <f t="shared" ref="D46:M46" si="22">D47*$B$10</f>
        <v>802.18</v>
      </c>
      <c r="E46" s="17">
        <f t="shared" si="22"/>
        <v>828.78</v>
      </c>
      <c r="F46" s="17">
        <f t="shared" si="22"/>
        <v>855.76</v>
      </c>
      <c r="G46" s="17">
        <f t="shared" si="22"/>
        <v>882.3599999999999</v>
      </c>
      <c r="H46" s="17">
        <f t="shared" si="22"/>
        <v>909.34</v>
      </c>
      <c r="I46" s="17">
        <f t="shared" si="22"/>
        <v>935.93999999999994</v>
      </c>
      <c r="J46" s="17">
        <f t="shared" si="22"/>
        <v>962.92</v>
      </c>
      <c r="K46" s="17">
        <f t="shared" si="22"/>
        <v>989.52</v>
      </c>
      <c r="L46" s="17">
        <f t="shared" si="22"/>
        <v>1016.5</v>
      </c>
      <c r="M46" s="17">
        <f t="shared" si="22"/>
        <v>1043.0999999999999</v>
      </c>
    </row>
    <row r="47" spans="1:13" x14ac:dyDescent="0.2">
      <c r="A47" s="13" t="s">
        <v>12</v>
      </c>
      <c r="B47" s="13"/>
      <c r="C47" s="16" t="s">
        <v>14</v>
      </c>
      <c r="D47" s="17">
        <f>IF(ROUND(D45*1.5,2)&lt;$G$122,ROUND(D45*1.5,2),IF($G$122&lt;D45,D45,$G$122))</f>
        <v>21.11</v>
      </c>
      <c r="E47" s="17">
        <f t="shared" ref="E47:M47" si="23">IF(ROUND(E45*1.5,2)&lt;$G$122,ROUND(E45*1.5,2),IF($G$122&lt;E45,E45,$G$122))</f>
        <v>21.81</v>
      </c>
      <c r="F47" s="17">
        <f t="shared" si="23"/>
        <v>22.52</v>
      </c>
      <c r="G47" s="17">
        <f t="shared" si="23"/>
        <v>23.22</v>
      </c>
      <c r="H47" s="17">
        <f t="shared" si="23"/>
        <v>23.93</v>
      </c>
      <c r="I47" s="17">
        <f t="shared" si="23"/>
        <v>24.63</v>
      </c>
      <c r="J47" s="17">
        <f t="shared" si="23"/>
        <v>25.34</v>
      </c>
      <c r="K47" s="17">
        <f t="shared" si="23"/>
        <v>26.04</v>
      </c>
      <c r="L47" s="17">
        <f t="shared" si="23"/>
        <v>26.75</v>
      </c>
      <c r="M47" s="17">
        <f t="shared" si="23"/>
        <v>27.45</v>
      </c>
    </row>
    <row r="48" spans="1:13" s="64" customFormat="1" x14ac:dyDescent="0.2">
      <c r="A48" s="63"/>
      <c r="B48" s="63"/>
      <c r="C48" s="32" t="s">
        <v>46</v>
      </c>
      <c r="D48" s="17">
        <f>ROUND(D45*'Start Page'!$F$33,2)*$B$13</f>
        <v>0</v>
      </c>
      <c r="E48" s="17">
        <f>ROUND(E45*'Start Page'!$F$33,2)*$B$13</f>
        <v>0</v>
      </c>
      <c r="F48" s="17">
        <f>ROUND(F45*'Start Page'!$F$33,2)*$B$13</f>
        <v>0</v>
      </c>
      <c r="G48" s="17">
        <f>ROUND(G45*'Start Page'!$F$33,2)*$B$13</f>
        <v>0</v>
      </c>
      <c r="H48" s="17">
        <f>ROUND(H45*'Start Page'!$F$33,2)*$B$13</f>
        <v>0</v>
      </c>
      <c r="I48" s="17">
        <f>ROUND(I45*'Start Page'!$F$33,2)*$B$13</f>
        <v>0</v>
      </c>
      <c r="J48" s="17">
        <f>ROUND(J45*'Start Page'!$F$33,2)*$B$13</f>
        <v>0</v>
      </c>
      <c r="K48" s="17">
        <f>ROUND(K45*'Start Page'!$F$33,2)*$B$13</f>
        <v>0</v>
      </c>
      <c r="L48" s="17">
        <f>ROUND(L45*'Start Page'!$F$33,2)*$B$13</f>
        <v>0</v>
      </c>
      <c r="M48" s="17">
        <f>ROUND(M45*'Start Page'!$F$33,2)*$B$13</f>
        <v>0</v>
      </c>
    </row>
    <row r="49" spans="1:13" x14ac:dyDescent="0.2">
      <c r="A49" s="13"/>
      <c r="B49" s="13">
        <f>B44+B46</f>
        <v>144</v>
      </c>
      <c r="C49" s="20" t="s">
        <v>17</v>
      </c>
      <c r="D49" s="21">
        <f t="shared" ref="D49:M49" si="24">D44+D46+D48</f>
        <v>2293.6</v>
      </c>
      <c r="E49" s="21">
        <f t="shared" si="24"/>
        <v>2370.02</v>
      </c>
      <c r="F49" s="21">
        <f t="shared" si="24"/>
        <v>2446.8199999999997</v>
      </c>
      <c r="G49" s="21">
        <f t="shared" si="24"/>
        <v>2523.2399999999998</v>
      </c>
      <c r="H49" s="21">
        <f t="shared" si="24"/>
        <v>2600.04</v>
      </c>
      <c r="I49" s="21">
        <f t="shared" si="24"/>
        <v>2676.46</v>
      </c>
      <c r="J49" s="21">
        <f t="shared" si="24"/>
        <v>2753.26</v>
      </c>
      <c r="K49" s="21">
        <f t="shared" si="24"/>
        <v>2829.68</v>
      </c>
      <c r="L49" s="21">
        <f t="shared" si="24"/>
        <v>2906.4799999999996</v>
      </c>
      <c r="M49" s="21">
        <f t="shared" si="24"/>
        <v>2982.9</v>
      </c>
    </row>
    <row r="50" spans="1:13" x14ac:dyDescent="0.2">
      <c r="A50" s="13"/>
      <c r="B50" s="13"/>
      <c r="C50" s="20" t="s">
        <v>33</v>
      </c>
      <c r="D50" s="21">
        <f>D49*'Start Page'!$C$41</f>
        <v>59633.599999999999</v>
      </c>
      <c r="E50" s="21">
        <f>E49*'Start Page'!$C$41</f>
        <v>61620.52</v>
      </c>
      <c r="F50" s="21">
        <f>F49*'Start Page'!$C$41</f>
        <v>63617.319999999992</v>
      </c>
      <c r="G50" s="21">
        <f>G49*'Start Page'!$C$41</f>
        <v>65604.239999999991</v>
      </c>
      <c r="H50" s="21">
        <f>H49*'Start Page'!$C$41</f>
        <v>67601.039999999994</v>
      </c>
      <c r="I50" s="21">
        <f>I49*'Start Page'!$C$41</f>
        <v>69587.960000000006</v>
      </c>
      <c r="J50" s="21">
        <f>J49*'Start Page'!$C$41</f>
        <v>71584.760000000009</v>
      </c>
      <c r="K50" s="21">
        <f>K49*'Start Page'!$C$41</f>
        <v>73571.679999999993</v>
      </c>
      <c r="L50" s="21">
        <f>L49*'Start Page'!$C$41</f>
        <v>75568.479999999981</v>
      </c>
      <c r="M50" s="21">
        <f>M49*'Start Page'!$C$41</f>
        <v>77555.400000000009</v>
      </c>
    </row>
    <row r="51" spans="1:13" s="25" customFormat="1" x14ac:dyDescent="0.2">
      <c r="A51" s="22"/>
      <c r="B51" s="22"/>
      <c r="C51" s="23" t="s">
        <v>105</v>
      </c>
      <c r="D51" s="24">
        <f>D45*$B$13*'Start Page'!$C$41</f>
        <v>52678.080000000002</v>
      </c>
      <c r="E51" s="24">
        <f>E45*$B$13*'Start Page'!$C$41</f>
        <v>54437.759999999995</v>
      </c>
      <c r="F51" s="24">
        <f>F45*$B$13*'Start Page'!$C$41</f>
        <v>56197.440000000002</v>
      </c>
      <c r="G51" s="24">
        <f>G45*$B$13*'Start Page'!$C$41</f>
        <v>57957.119999999995</v>
      </c>
      <c r="H51" s="24">
        <f>H45*$B$13*'Start Page'!$C$41</f>
        <v>59716.799999999996</v>
      </c>
      <c r="I51" s="24">
        <f>I45*$B$13*'Start Page'!$C$41</f>
        <v>61476.48000000001</v>
      </c>
      <c r="J51" s="24">
        <f>J45*$B$13*'Start Page'!$C$41</f>
        <v>63236.159999999996</v>
      </c>
      <c r="K51" s="24">
        <f>K45*$B$13*'Start Page'!$C$41</f>
        <v>64995.840000000004</v>
      </c>
      <c r="L51" s="24">
        <f>L45*$B$13*'Start Page'!$C$41</f>
        <v>66755.51999999999</v>
      </c>
      <c r="M51" s="123">
        <f>M45*$B$13*'Start Page'!$C$41</f>
        <v>68515.200000000012</v>
      </c>
    </row>
    <row r="52" spans="1:13" x14ac:dyDescent="0.2">
      <c r="A52" s="13"/>
      <c r="B52" s="13"/>
      <c r="C52" s="14" t="s">
        <v>30</v>
      </c>
      <c r="D52" s="15">
        <f>'GS Pay Scale'!B14</f>
        <v>42960</v>
      </c>
      <c r="E52" s="15">
        <f>'GS Pay Scale'!C14</f>
        <v>44391</v>
      </c>
      <c r="F52" s="15">
        <f>'GS Pay Scale'!D14</f>
        <v>45823</v>
      </c>
      <c r="G52" s="15">
        <f>'GS Pay Scale'!E14</f>
        <v>47254</v>
      </c>
      <c r="H52" s="15">
        <f>'GS Pay Scale'!F14</f>
        <v>48686</v>
      </c>
      <c r="I52" s="15">
        <f>'GS Pay Scale'!G14</f>
        <v>50117</v>
      </c>
      <c r="J52" s="15">
        <f>'GS Pay Scale'!H14</f>
        <v>51549</v>
      </c>
      <c r="K52" s="15">
        <f>'GS Pay Scale'!I14</f>
        <v>52981</v>
      </c>
      <c r="L52" s="15">
        <f>'GS Pay Scale'!J14</f>
        <v>54412</v>
      </c>
      <c r="M52" s="15">
        <f>'GS Pay Scale'!K14</f>
        <v>55844</v>
      </c>
    </row>
    <row r="53" spans="1:13" x14ac:dyDescent="0.2">
      <c r="A53" s="13"/>
      <c r="B53" s="13">
        <v>106</v>
      </c>
      <c r="C53" s="16" t="s">
        <v>41</v>
      </c>
      <c r="D53" s="17">
        <f t="shared" ref="D53:M53" si="25">D54*106</f>
        <v>1652.54</v>
      </c>
      <c r="E53" s="17">
        <f t="shared" si="25"/>
        <v>1707.6599999999999</v>
      </c>
      <c r="F53" s="17">
        <f t="shared" si="25"/>
        <v>1762.78</v>
      </c>
      <c r="G53" s="17">
        <f t="shared" si="25"/>
        <v>1817.8999999999999</v>
      </c>
      <c r="H53" s="17">
        <f t="shared" si="25"/>
        <v>1873.0200000000002</v>
      </c>
      <c r="I53" s="17">
        <f t="shared" si="25"/>
        <v>1927.08</v>
      </c>
      <c r="J53" s="17">
        <f t="shared" si="25"/>
        <v>1982.1999999999998</v>
      </c>
      <c r="K53" s="17">
        <f t="shared" si="25"/>
        <v>2037.32</v>
      </c>
      <c r="L53" s="17">
        <f t="shared" si="25"/>
        <v>2092.44</v>
      </c>
      <c r="M53" s="17">
        <f t="shared" si="25"/>
        <v>2147.56</v>
      </c>
    </row>
    <row r="54" spans="1:13" x14ac:dyDescent="0.2">
      <c r="A54" s="13"/>
      <c r="B54" s="13"/>
      <c r="C54" s="16" t="s">
        <v>13</v>
      </c>
      <c r="D54" s="17">
        <f>ROUND(D52/2756,2)</f>
        <v>15.59</v>
      </c>
      <c r="E54" s="17">
        <f t="shared" ref="E54:M54" si="26">ROUND(E52/2756,2)</f>
        <v>16.11</v>
      </c>
      <c r="F54" s="17">
        <f t="shared" si="26"/>
        <v>16.63</v>
      </c>
      <c r="G54" s="17">
        <f t="shared" si="26"/>
        <v>17.149999999999999</v>
      </c>
      <c r="H54" s="17">
        <f t="shared" si="26"/>
        <v>17.670000000000002</v>
      </c>
      <c r="I54" s="17">
        <f t="shared" si="26"/>
        <v>18.18</v>
      </c>
      <c r="J54" s="17">
        <f t="shared" si="26"/>
        <v>18.7</v>
      </c>
      <c r="K54" s="17">
        <f t="shared" si="26"/>
        <v>19.22</v>
      </c>
      <c r="L54" s="17">
        <f t="shared" si="26"/>
        <v>19.739999999999998</v>
      </c>
      <c r="M54" s="17">
        <f t="shared" si="26"/>
        <v>20.260000000000002</v>
      </c>
    </row>
    <row r="55" spans="1:13" x14ac:dyDescent="0.2">
      <c r="A55" s="18"/>
      <c r="B55" s="19">
        <f>($G$3-53)*2</f>
        <v>38</v>
      </c>
      <c r="C55" s="16" t="s">
        <v>42</v>
      </c>
      <c r="D55" s="17">
        <f t="shared" ref="D55:M55" si="27">D56*$B$10</f>
        <v>888.82</v>
      </c>
      <c r="E55" s="17">
        <f t="shared" si="27"/>
        <v>918.46</v>
      </c>
      <c r="F55" s="17">
        <f t="shared" si="27"/>
        <v>948.1</v>
      </c>
      <c r="G55" s="17">
        <f t="shared" si="27"/>
        <v>977.74</v>
      </c>
      <c r="H55" s="17">
        <f t="shared" si="27"/>
        <v>1007.3800000000001</v>
      </c>
      <c r="I55" s="17">
        <f t="shared" si="27"/>
        <v>1036.26</v>
      </c>
      <c r="J55" s="17">
        <f t="shared" si="27"/>
        <v>1065.9000000000001</v>
      </c>
      <c r="K55" s="17">
        <f t="shared" si="27"/>
        <v>1095.54</v>
      </c>
      <c r="L55" s="17">
        <f t="shared" si="27"/>
        <v>1125.18</v>
      </c>
      <c r="M55" s="17">
        <f t="shared" si="27"/>
        <v>1154.82</v>
      </c>
    </row>
    <row r="56" spans="1:13" x14ac:dyDescent="0.2">
      <c r="A56" s="13" t="s">
        <v>15</v>
      </c>
      <c r="B56" s="13"/>
      <c r="C56" s="16" t="s">
        <v>14</v>
      </c>
      <c r="D56" s="17">
        <f>IF(ROUND(D54*1.5,2)&lt;$G$122,ROUND(D54*1.5,2),IF($G$122&lt;D54,D54,$G$122))</f>
        <v>23.39</v>
      </c>
      <c r="E56" s="17">
        <f t="shared" ref="E56:M56" si="28">IF(ROUND(E54*1.5,2)&lt;$G$122,ROUND(E54*1.5,2),IF($G$122&lt;E54,E54,$G$122))</f>
        <v>24.17</v>
      </c>
      <c r="F56" s="17">
        <f t="shared" si="28"/>
        <v>24.95</v>
      </c>
      <c r="G56" s="17">
        <f t="shared" si="28"/>
        <v>25.73</v>
      </c>
      <c r="H56" s="17">
        <f t="shared" si="28"/>
        <v>26.51</v>
      </c>
      <c r="I56" s="17">
        <f t="shared" si="28"/>
        <v>27.27</v>
      </c>
      <c r="J56" s="17">
        <f t="shared" si="28"/>
        <v>28.05</v>
      </c>
      <c r="K56" s="17">
        <f t="shared" si="28"/>
        <v>28.83</v>
      </c>
      <c r="L56" s="17">
        <f t="shared" si="28"/>
        <v>29.61</v>
      </c>
      <c r="M56" s="17">
        <f t="shared" si="28"/>
        <v>30.39</v>
      </c>
    </row>
    <row r="57" spans="1:13" s="64" customFormat="1" x14ac:dyDescent="0.2">
      <c r="A57" s="63"/>
      <c r="B57" s="63"/>
      <c r="C57" s="32" t="s">
        <v>46</v>
      </c>
      <c r="D57" s="17">
        <f>ROUND(D54*'Start Page'!$F$33,2)*$B$13</f>
        <v>0</v>
      </c>
      <c r="E57" s="17">
        <f>ROUND(E54*'Start Page'!$F$33,2)*$B$13</f>
        <v>0</v>
      </c>
      <c r="F57" s="17">
        <f>ROUND(F54*'Start Page'!$F$33,2)*$B$13</f>
        <v>0</v>
      </c>
      <c r="G57" s="17">
        <f>ROUND(G54*'Start Page'!$F$33,2)*$B$13</f>
        <v>0</v>
      </c>
      <c r="H57" s="17">
        <f>ROUND(H54*'Start Page'!$F$33,2)*$B$13</f>
        <v>0</v>
      </c>
      <c r="I57" s="17">
        <f>ROUND(I54*'Start Page'!$F$33,2)*$B$13</f>
        <v>0</v>
      </c>
      <c r="J57" s="17">
        <f>ROUND(J54*'Start Page'!$F$33,2)*$B$13</f>
        <v>0</v>
      </c>
      <c r="K57" s="17">
        <f>ROUND(K54*'Start Page'!$F$33,2)*$B$13</f>
        <v>0</v>
      </c>
      <c r="L57" s="17">
        <f>ROUND(L54*'Start Page'!$F$33,2)*$B$13</f>
        <v>0</v>
      </c>
      <c r="M57" s="17">
        <f>ROUND(M54*'Start Page'!$F$33,2)*$B$13</f>
        <v>0</v>
      </c>
    </row>
    <row r="58" spans="1:13" x14ac:dyDescent="0.2">
      <c r="A58" s="13"/>
      <c r="B58" s="13">
        <f>B53+B55</f>
        <v>144</v>
      </c>
      <c r="C58" s="20" t="s">
        <v>17</v>
      </c>
      <c r="D58" s="21">
        <f t="shared" ref="D58:M58" si="29">D53+D55+D57</f>
        <v>2541.36</v>
      </c>
      <c r="E58" s="21">
        <f t="shared" si="29"/>
        <v>2626.12</v>
      </c>
      <c r="F58" s="21">
        <f t="shared" si="29"/>
        <v>2710.88</v>
      </c>
      <c r="G58" s="21">
        <f t="shared" si="29"/>
        <v>2795.64</v>
      </c>
      <c r="H58" s="21">
        <f t="shared" si="29"/>
        <v>2880.4000000000005</v>
      </c>
      <c r="I58" s="21">
        <f t="shared" si="29"/>
        <v>2963.34</v>
      </c>
      <c r="J58" s="21">
        <f t="shared" si="29"/>
        <v>3048.1</v>
      </c>
      <c r="K58" s="21">
        <f t="shared" si="29"/>
        <v>3132.8599999999997</v>
      </c>
      <c r="L58" s="21">
        <f t="shared" si="29"/>
        <v>3217.62</v>
      </c>
      <c r="M58" s="21">
        <f t="shared" si="29"/>
        <v>3302.38</v>
      </c>
    </row>
    <row r="59" spans="1:13" x14ac:dyDescent="0.2">
      <c r="A59" s="13"/>
      <c r="B59" s="13"/>
      <c r="C59" s="20" t="s">
        <v>33</v>
      </c>
      <c r="D59" s="21">
        <f>D58*'Start Page'!$C$41</f>
        <v>66075.360000000001</v>
      </c>
      <c r="E59" s="21">
        <f>E58*'Start Page'!$C$41</f>
        <v>68279.12</v>
      </c>
      <c r="F59" s="21">
        <f>F58*'Start Page'!$C$41</f>
        <v>70482.880000000005</v>
      </c>
      <c r="G59" s="21">
        <f>G58*'Start Page'!$C$41</f>
        <v>72686.64</v>
      </c>
      <c r="H59" s="21">
        <f>H58*'Start Page'!$C$41</f>
        <v>74890.400000000009</v>
      </c>
      <c r="I59" s="21">
        <f>I58*'Start Page'!$C$41</f>
        <v>77046.84</v>
      </c>
      <c r="J59" s="21">
        <f>J58*'Start Page'!$C$41</f>
        <v>79250.599999999991</v>
      </c>
      <c r="K59" s="21">
        <f>K58*'Start Page'!$C$41</f>
        <v>81454.359999999986</v>
      </c>
      <c r="L59" s="21">
        <f>L58*'Start Page'!$C$41</f>
        <v>83658.12</v>
      </c>
      <c r="M59" s="21">
        <f>M58*'Start Page'!$C$41</f>
        <v>85861.88</v>
      </c>
    </row>
    <row r="60" spans="1:13" s="25" customFormat="1" x14ac:dyDescent="0.2">
      <c r="A60" s="22"/>
      <c r="B60" s="22"/>
      <c r="C60" s="23" t="s">
        <v>105</v>
      </c>
      <c r="D60" s="24">
        <f>D54*$B$13*'Start Page'!$C$41</f>
        <v>58368.959999999999</v>
      </c>
      <c r="E60" s="24">
        <f>E54*$B$13*'Start Page'!$C$41</f>
        <v>60315.840000000004</v>
      </c>
      <c r="F60" s="24">
        <f>F54*$B$13*'Start Page'!$C$41</f>
        <v>62262.719999999994</v>
      </c>
      <c r="G60" s="24">
        <f>G54*$B$13*'Start Page'!$C$41</f>
        <v>64209.599999999999</v>
      </c>
      <c r="H60" s="24">
        <f>H54*$B$13*'Start Page'!$C$41</f>
        <v>66156.48000000001</v>
      </c>
      <c r="I60" s="24">
        <f>I54*$B$13*'Start Page'!$C$41</f>
        <v>68065.919999999998</v>
      </c>
      <c r="J60" s="24">
        <f>J54*$B$13*'Start Page'!$C$41</f>
        <v>70012.799999999988</v>
      </c>
      <c r="K60" s="24">
        <f>K54*$B$13*'Start Page'!$C$41</f>
        <v>71959.679999999993</v>
      </c>
      <c r="L60" s="24">
        <f>L54*$B$13*'Start Page'!$C$41</f>
        <v>73906.559999999998</v>
      </c>
      <c r="M60" s="123">
        <f>M54*$B$13*'Start Page'!$C$41</f>
        <v>75853.440000000002</v>
      </c>
    </row>
    <row r="61" spans="1:13" x14ac:dyDescent="0.2">
      <c r="A61" s="12" t="s">
        <v>0</v>
      </c>
      <c r="B61" s="12" t="s">
        <v>43</v>
      </c>
      <c r="C61" s="12" t="s">
        <v>1</v>
      </c>
      <c r="D61" s="12" t="s">
        <v>2</v>
      </c>
      <c r="E61" s="12" t="s">
        <v>3</v>
      </c>
      <c r="F61" s="12" t="s">
        <v>4</v>
      </c>
      <c r="G61" s="12" t="s">
        <v>5</v>
      </c>
      <c r="H61" s="12" t="s">
        <v>6</v>
      </c>
      <c r="I61" s="12" t="s">
        <v>7</v>
      </c>
      <c r="J61" s="12" t="s">
        <v>8</v>
      </c>
      <c r="K61" s="12" t="s">
        <v>9</v>
      </c>
      <c r="L61" s="12" t="s">
        <v>10</v>
      </c>
      <c r="M61" s="12" t="s">
        <v>11</v>
      </c>
    </row>
    <row r="62" spans="1:13" x14ac:dyDescent="0.2">
      <c r="A62" s="26"/>
      <c r="B62" s="13"/>
      <c r="C62" s="14" t="s">
        <v>30</v>
      </c>
      <c r="D62" s="15">
        <f>'GS Pay Scale'!B15</f>
        <v>47448</v>
      </c>
      <c r="E62" s="15">
        <f>'GS Pay Scale'!C15</f>
        <v>49029</v>
      </c>
      <c r="F62" s="15">
        <f>'GS Pay Scale'!D15</f>
        <v>50611</v>
      </c>
      <c r="G62" s="15">
        <f>'GS Pay Scale'!E15</f>
        <v>52192</v>
      </c>
      <c r="H62" s="15">
        <f>'GS Pay Scale'!F15</f>
        <v>53773</v>
      </c>
      <c r="I62" s="15">
        <f>'GS Pay Scale'!G15</f>
        <v>55354</v>
      </c>
      <c r="J62" s="15">
        <f>'GS Pay Scale'!H15</f>
        <v>56935</v>
      </c>
      <c r="K62" s="15">
        <f>'GS Pay Scale'!I15</f>
        <v>58516</v>
      </c>
      <c r="L62" s="15">
        <f>'GS Pay Scale'!J15</f>
        <v>60097</v>
      </c>
      <c r="M62" s="15">
        <f>'GS Pay Scale'!K15</f>
        <v>61678</v>
      </c>
    </row>
    <row r="63" spans="1:13" x14ac:dyDescent="0.2">
      <c r="A63" s="13"/>
      <c r="B63" s="13">
        <v>106</v>
      </c>
      <c r="C63" s="16" t="s">
        <v>41</v>
      </c>
      <c r="D63" s="17">
        <f t="shared" ref="D63:M63" si="30">D64*106</f>
        <v>1825.32</v>
      </c>
      <c r="E63" s="17">
        <f t="shared" si="30"/>
        <v>1885.74</v>
      </c>
      <c r="F63" s="17">
        <f t="shared" si="30"/>
        <v>1946.1599999999999</v>
      </c>
      <c r="G63" s="17">
        <f t="shared" si="30"/>
        <v>2007.64</v>
      </c>
      <c r="H63" s="17">
        <f t="shared" si="30"/>
        <v>2068.06</v>
      </c>
      <c r="I63" s="17">
        <f t="shared" si="30"/>
        <v>2128.48</v>
      </c>
      <c r="J63" s="17">
        <f t="shared" si="30"/>
        <v>2189.96</v>
      </c>
      <c r="K63" s="17">
        <f t="shared" si="30"/>
        <v>2250.38</v>
      </c>
      <c r="L63" s="17">
        <f t="shared" si="30"/>
        <v>2311.8599999999997</v>
      </c>
      <c r="M63" s="17">
        <f t="shared" si="30"/>
        <v>2372.2799999999997</v>
      </c>
    </row>
    <row r="64" spans="1:13" x14ac:dyDescent="0.2">
      <c r="A64" s="13"/>
      <c r="B64" s="13"/>
      <c r="C64" s="16" t="s">
        <v>13</v>
      </c>
      <c r="D64" s="17">
        <f>ROUND(D62/2756,2)</f>
        <v>17.22</v>
      </c>
      <c r="E64" s="17">
        <f t="shared" ref="E64:M64" si="31">ROUND(E62/2756,2)</f>
        <v>17.79</v>
      </c>
      <c r="F64" s="17">
        <f t="shared" si="31"/>
        <v>18.36</v>
      </c>
      <c r="G64" s="17">
        <f t="shared" si="31"/>
        <v>18.940000000000001</v>
      </c>
      <c r="H64" s="17">
        <f t="shared" si="31"/>
        <v>19.510000000000002</v>
      </c>
      <c r="I64" s="17">
        <f t="shared" si="31"/>
        <v>20.079999999999998</v>
      </c>
      <c r="J64" s="17">
        <f t="shared" si="31"/>
        <v>20.66</v>
      </c>
      <c r="K64" s="17">
        <f t="shared" si="31"/>
        <v>21.23</v>
      </c>
      <c r="L64" s="17">
        <f t="shared" si="31"/>
        <v>21.81</v>
      </c>
      <c r="M64" s="17">
        <f t="shared" si="31"/>
        <v>22.38</v>
      </c>
    </row>
    <row r="65" spans="1:13" x14ac:dyDescent="0.2">
      <c r="A65" s="18"/>
      <c r="B65" s="19">
        <f>($G$3-53)*2</f>
        <v>38</v>
      </c>
      <c r="C65" s="16" t="s">
        <v>42</v>
      </c>
      <c r="D65" s="17">
        <f t="shared" ref="D65:M65" si="32">D66*$B$10</f>
        <v>981.54</v>
      </c>
      <c r="E65" s="17">
        <f t="shared" si="32"/>
        <v>1014.22</v>
      </c>
      <c r="F65" s="17">
        <f t="shared" si="32"/>
        <v>1046.52</v>
      </c>
      <c r="G65" s="17">
        <f t="shared" si="32"/>
        <v>1079.58</v>
      </c>
      <c r="H65" s="17">
        <f t="shared" si="32"/>
        <v>1112.26</v>
      </c>
      <c r="I65" s="17">
        <f t="shared" si="32"/>
        <v>1144.56</v>
      </c>
      <c r="J65" s="17">
        <f t="shared" si="32"/>
        <v>1177.6199999999999</v>
      </c>
      <c r="K65" s="17">
        <f t="shared" si="32"/>
        <v>1210.3</v>
      </c>
      <c r="L65" s="17">
        <f t="shared" si="32"/>
        <v>1243.3599999999999</v>
      </c>
      <c r="M65" s="17">
        <f t="shared" si="32"/>
        <v>1275.6600000000001</v>
      </c>
    </row>
    <row r="66" spans="1:13" x14ac:dyDescent="0.2">
      <c r="A66" s="13" t="s">
        <v>21</v>
      </c>
      <c r="B66" s="13"/>
      <c r="C66" s="16" t="s">
        <v>14</v>
      </c>
      <c r="D66" s="17">
        <f>IF(ROUND(D64*1.5,2)&lt;$G$122,ROUND(D64*1.5,2),IF($G$122&lt;D64,D64,$G$122))</f>
        <v>25.83</v>
      </c>
      <c r="E66" s="17">
        <f t="shared" ref="E66:M66" si="33">IF(ROUND(E64*1.5,2)&lt;$G$122,ROUND(E64*1.5,2),IF($G$122&lt;E64,E64,$G$122))</f>
        <v>26.69</v>
      </c>
      <c r="F66" s="17">
        <f t="shared" si="33"/>
        <v>27.54</v>
      </c>
      <c r="G66" s="17">
        <f t="shared" si="33"/>
        <v>28.41</v>
      </c>
      <c r="H66" s="17">
        <f t="shared" si="33"/>
        <v>29.27</v>
      </c>
      <c r="I66" s="17">
        <f t="shared" si="33"/>
        <v>30.12</v>
      </c>
      <c r="J66" s="17">
        <f t="shared" si="33"/>
        <v>30.99</v>
      </c>
      <c r="K66" s="17">
        <f t="shared" si="33"/>
        <v>31.85</v>
      </c>
      <c r="L66" s="17">
        <f t="shared" si="33"/>
        <v>32.72</v>
      </c>
      <c r="M66" s="17">
        <f t="shared" si="33"/>
        <v>33.57</v>
      </c>
    </row>
    <row r="67" spans="1:13" s="64" customFormat="1" x14ac:dyDescent="0.2">
      <c r="A67" s="63"/>
      <c r="B67" s="63"/>
      <c r="C67" s="32" t="s">
        <v>46</v>
      </c>
      <c r="D67" s="17">
        <f>ROUND(D64*'Start Page'!$F$33,2)*$B$13</f>
        <v>0</v>
      </c>
      <c r="E67" s="17">
        <f>ROUND(E64*'Start Page'!$F$33,2)*$B$13</f>
        <v>0</v>
      </c>
      <c r="F67" s="17">
        <f>ROUND(F64*'Start Page'!$F$33,2)*$B$13</f>
        <v>0</v>
      </c>
      <c r="G67" s="17">
        <f>ROUND(G64*'Start Page'!$F$33,2)*$B$13</f>
        <v>0</v>
      </c>
      <c r="H67" s="17">
        <f>ROUND(H64*'Start Page'!$F$33,2)*$B$13</f>
        <v>0</v>
      </c>
      <c r="I67" s="17">
        <f>ROUND(I64*'Start Page'!$F$33,2)*$B$13</f>
        <v>0</v>
      </c>
      <c r="J67" s="17">
        <f>ROUND(J64*'Start Page'!$F$33,2)*$B$13</f>
        <v>0</v>
      </c>
      <c r="K67" s="17">
        <f>ROUND(K64*'Start Page'!$F$33,2)*$B$13</f>
        <v>0</v>
      </c>
      <c r="L67" s="17">
        <f>ROUND(L64*'Start Page'!$F$33,2)*$B$13</f>
        <v>0</v>
      </c>
      <c r="M67" s="17">
        <f>ROUND(M64*'Start Page'!$F$33,2)*$B$13</f>
        <v>0</v>
      </c>
    </row>
    <row r="68" spans="1:13" x14ac:dyDescent="0.2">
      <c r="A68" s="13"/>
      <c r="B68" s="13">
        <f>B63+B65</f>
        <v>144</v>
      </c>
      <c r="C68" s="20" t="s">
        <v>17</v>
      </c>
      <c r="D68" s="21">
        <f t="shared" ref="D68:M68" si="34">D63+D65+D67</f>
        <v>2806.8599999999997</v>
      </c>
      <c r="E68" s="21">
        <f t="shared" si="34"/>
        <v>2899.96</v>
      </c>
      <c r="F68" s="21">
        <f t="shared" si="34"/>
        <v>2992.68</v>
      </c>
      <c r="G68" s="21">
        <f t="shared" si="34"/>
        <v>3087.2200000000003</v>
      </c>
      <c r="H68" s="21">
        <f t="shared" si="34"/>
        <v>3180.3199999999997</v>
      </c>
      <c r="I68" s="21">
        <f t="shared" si="34"/>
        <v>3273.04</v>
      </c>
      <c r="J68" s="21">
        <f t="shared" si="34"/>
        <v>3367.58</v>
      </c>
      <c r="K68" s="21">
        <f t="shared" si="34"/>
        <v>3460.6800000000003</v>
      </c>
      <c r="L68" s="21">
        <f t="shared" si="34"/>
        <v>3555.2199999999993</v>
      </c>
      <c r="M68" s="21">
        <f t="shared" si="34"/>
        <v>3647.9399999999996</v>
      </c>
    </row>
    <row r="69" spans="1:13" x14ac:dyDescent="0.2">
      <c r="A69" s="13"/>
      <c r="B69" s="13"/>
      <c r="C69" s="20" t="s">
        <v>33</v>
      </c>
      <c r="D69" s="21">
        <f>D68*'Start Page'!$C$41</f>
        <v>72978.359999999986</v>
      </c>
      <c r="E69" s="21">
        <f>E68*'Start Page'!$C$41</f>
        <v>75398.960000000006</v>
      </c>
      <c r="F69" s="21">
        <f>F68*'Start Page'!$C$41</f>
        <v>77809.679999999993</v>
      </c>
      <c r="G69" s="21">
        <f>G68*'Start Page'!$C$41</f>
        <v>80267.72</v>
      </c>
      <c r="H69" s="21">
        <f>H68*'Start Page'!$C$41</f>
        <v>82688.319999999992</v>
      </c>
      <c r="I69" s="21">
        <f>I68*'Start Page'!$C$41</f>
        <v>85099.04</v>
      </c>
      <c r="J69" s="21">
        <f>J68*'Start Page'!$C$41</f>
        <v>87557.08</v>
      </c>
      <c r="K69" s="21">
        <f>K68*'Start Page'!$C$41</f>
        <v>89977.680000000008</v>
      </c>
      <c r="L69" s="21">
        <f>L68*'Start Page'!$C$41</f>
        <v>92435.719999999987</v>
      </c>
      <c r="M69" s="21">
        <f>M68*'Start Page'!$C$41</f>
        <v>94846.439999999988</v>
      </c>
    </row>
    <row r="70" spans="1:13" s="25" customFormat="1" x14ac:dyDescent="0.2">
      <c r="A70" s="22"/>
      <c r="B70" s="22"/>
      <c r="C70" s="23" t="s">
        <v>105</v>
      </c>
      <c r="D70" s="24">
        <f>D64*$B$13*'Start Page'!$C$41</f>
        <v>64471.679999999993</v>
      </c>
      <c r="E70" s="24">
        <f>E64*$B$13*'Start Page'!$C$41</f>
        <v>66605.759999999995</v>
      </c>
      <c r="F70" s="24">
        <f>F64*$B$13*'Start Page'!$C$41</f>
        <v>68739.839999999997</v>
      </c>
      <c r="G70" s="24">
        <f>G64*$B$13*'Start Page'!$C$41</f>
        <v>70911.360000000001</v>
      </c>
      <c r="H70" s="24">
        <f>H64*$B$13*'Start Page'!$C$41</f>
        <v>73045.440000000002</v>
      </c>
      <c r="I70" s="24">
        <f>I64*$B$13*'Start Page'!$C$41</f>
        <v>75179.51999999999</v>
      </c>
      <c r="J70" s="24">
        <f>J64*$B$13*'Start Page'!$C$41</f>
        <v>77351.039999999994</v>
      </c>
      <c r="K70" s="24">
        <f>K64*$B$13*'Start Page'!$C$41</f>
        <v>79485.119999999995</v>
      </c>
      <c r="L70" s="24">
        <f>L64*$B$13*'Start Page'!$C$41</f>
        <v>81656.639999999999</v>
      </c>
      <c r="M70" s="123">
        <f>M64*$B$13*'Start Page'!$C$41</f>
        <v>83790.720000000001</v>
      </c>
    </row>
    <row r="71" spans="1:13" x14ac:dyDescent="0.2">
      <c r="A71" s="13"/>
      <c r="B71" s="13"/>
      <c r="C71" s="14" t="s">
        <v>30</v>
      </c>
      <c r="D71" s="15">
        <f>'GS Pay Scale'!B16</f>
        <v>52252</v>
      </c>
      <c r="E71" s="15">
        <f>'GS Pay Scale'!C16</f>
        <v>53994</v>
      </c>
      <c r="F71" s="15">
        <f>'GS Pay Scale'!D16</f>
        <v>55736</v>
      </c>
      <c r="G71" s="15">
        <f>'GS Pay Scale'!E16</f>
        <v>57478</v>
      </c>
      <c r="H71" s="15">
        <f>'GS Pay Scale'!F16</f>
        <v>59221</v>
      </c>
      <c r="I71" s="15">
        <f>'GS Pay Scale'!G16</f>
        <v>60963</v>
      </c>
      <c r="J71" s="15">
        <f>'GS Pay Scale'!H16</f>
        <v>62705</v>
      </c>
      <c r="K71" s="15">
        <f>'GS Pay Scale'!I16</f>
        <v>64447</v>
      </c>
      <c r="L71" s="15">
        <f>'GS Pay Scale'!J16</f>
        <v>66189</v>
      </c>
      <c r="M71" s="15">
        <f>'GS Pay Scale'!K16</f>
        <v>67931</v>
      </c>
    </row>
    <row r="72" spans="1:13" x14ac:dyDescent="0.2">
      <c r="A72" s="13"/>
      <c r="B72" s="13">
        <v>106</v>
      </c>
      <c r="C72" s="16" t="s">
        <v>41</v>
      </c>
      <c r="D72" s="17">
        <f t="shared" ref="D72:M72" si="35">D73*106</f>
        <v>2009.76</v>
      </c>
      <c r="E72" s="17">
        <f t="shared" si="35"/>
        <v>2076.54</v>
      </c>
      <c r="F72" s="17">
        <f t="shared" si="35"/>
        <v>2143.3199999999997</v>
      </c>
      <c r="G72" s="17">
        <f t="shared" si="35"/>
        <v>2211.16</v>
      </c>
      <c r="H72" s="17">
        <f t="shared" si="35"/>
        <v>2277.94</v>
      </c>
      <c r="I72" s="17">
        <f t="shared" si="35"/>
        <v>2344.7200000000003</v>
      </c>
      <c r="J72" s="17">
        <f t="shared" si="35"/>
        <v>2411.5</v>
      </c>
      <c r="K72" s="17">
        <f t="shared" si="35"/>
        <v>2478.2799999999997</v>
      </c>
      <c r="L72" s="17">
        <f t="shared" si="35"/>
        <v>2546.12</v>
      </c>
      <c r="M72" s="17">
        <f t="shared" si="35"/>
        <v>2612.8999999999996</v>
      </c>
    </row>
    <row r="73" spans="1:13" x14ac:dyDescent="0.2">
      <c r="A73" s="13"/>
      <c r="B73" s="13"/>
      <c r="C73" s="16" t="s">
        <v>13</v>
      </c>
      <c r="D73" s="17">
        <f t="shared" ref="D73:M73" si="36">ROUND(D71/2756,2)</f>
        <v>18.96</v>
      </c>
      <c r="E73" s="17">
        <f t="shared" si="36"/>
        <v>19.59</v>
      </c>
      <c r="F73" s="17">
        <f t="shared" si="36"/>
        <v>20.22</v>
      </c>
      <c r="G73" s="17">
        <f t="shared" si="36"/>
        <v>20.86</v>
      </c>
      <c r="H73" s="17">
        <f t="shared" si="36"/>
        <v>21.49</v>
      </c>
      <c r="I73" s="17">
        <f t="shared" si="36"/>
        <v>22.12</v>
      </c>
      <c r="J73" s="17">
        <f t="shared" si="36"/>
        <v>22.75</v>
      </c>
      <c r="K73" s="17">
        <f t="shared" si="36"/>
        <v>23.38</v>
      </c>
      <c r="L73" s="17">
        <f t="shared" si="36"/>
        <v>24.02</v>
      </c>
      <c r="M73" s="17">
        <f t="shared" si="36"/>
        <v>24.65</v>
      </c>
    </row>
    <row r="74" spans="1:13" x14ac:dyDescent="0.2">
      <c r="A74" s="18"/>
      <c r="B74" s="19">
        <f>($G$3-53)*2</f>
        <v>38</v>
      </c>
      <c r="C74" s="16" t="s">
        <v>42</v>
      </c>
      <c r="D74" s="17">
        <f t="shared" ref="D74:M74" si="37">D75*$B$10</f>
        <v>1080.72</v>
      </c>
      <c r="E74" s="17">
        <f t="shared" si="37"/>
        <v>1116.82</v>
      </c>
      <c r="F74" s="17">
        <f t="shared" si="37"/>
        <v>1152.54</v>
      </c>
      <c r="G74" s="17">
        <f t="shared" si="37"/>
        <v>1189.02</v>
      </c>
      <c r="H74" s="17">
        <f t="shared" si="37"/>
        <v>1225.1200000000001</v>
      </c>
      <c r="I74" s="17">
        <f t="shared" si="37"/>
        <v>1260.8399999999999</v>
      </c>
      <c r="J74" s="17">
        <f t="shared" si="37"/>
        <v>1296.94</v>
      </c>
      <c r="K74" s="17">
        <f t="shared" si="37"/>
        <v>1332.66</v>
      </c>
      <c r="L74" s="17">
        <f t="shared" si="37"/>
        <v>1369.14</v>
      </c>
      <c r="M74" s="17">
        <f t="shared" si="37"/>
        <v>1405.2399999999998</v>
      </c>
    </row>
    <row r="75" spans="1:13" x14ac:dyDescent="0.2">
      <c r="A75" s="13" t="s">
        <v>25</v>
      </c>
      <c r="B75" s="13"/>
      <c r="C75" s="16" t="s">
        <v>14</v>
      </c>
      <c r="D75" s="17">
        <f t="shared" ref="D75:M75" si="38">IF(ROUND(D73*1.5,2)&lt;$G$122,ROUND(D73*1.5,2),IF($G$122&lt;D73,D73,$G$122))</f>
        <v>28.44</v>
      </c>
      <c r="E75" s="17">
        <f t="shared" si="38"/>
        <v>29.39</v>
      </c>
      <c r="F75" s="17">
        <f t="shared" si="38"/>
        <v>30.33</v>
      </c>
      <c r="G75" s="17">
        <f t="shared" si="38"/>
        <v>31.29</v>
      </c>
      <c r="H75" s="17">
        <f t="shared" si="38"/>
        <v>32.24</v>
      </c>
      <c r="I75" s="17">
        <f t="shared" si="38"/>
        <v>33.18</v>
      </c>
      <c r="J75" s="17">
        <f t="shared" si="38"/>
        <v>34.130000000000003</v>
      </c>
      <c r="K75" s="17">
        <f t="shared" si="38"/>
        <v>35.07</v>
      </c>
      <c r="L75" s="17">
        <f t="shared" si="38"/>
        <v>36.03</v>
      </c>
      <c r="M75" s="17">
        <f t="shared" si="38"/>
        <v>36.979999999999997</v>
      </c>
    </row>
    <row r="76" spans="1:13" s="64" customFormat="1" x14ac:dyDescent="0.2">
      <c r="A76" s="63"/>
      <c r="B76" s="63"/>
      <c r="C76" s="32" t="s">
        <v>46</v>
      </c>
      <c r="D76" s="17">
        <f>ROUND(D73*'Start Page'!$F$33,2)*$B$13</f>
        <v>0</v>
      </c>
      <c r="E76" s="17">
        <f>ROUND(E73*'Start Page'!$F$33,2)*$B$13</f>
        <v>0</v>
      </c>
      <c r="F76" s="17">
        <f>ROUND(F73*'Start Page'!$F$33,2)*$B$13</f>
        <v>0</v>
      </c>
      <c r="G76" s="17">
        <f>ROUND(G73*'Start Page'!$F$33,2)*$B$13</f>
        <v>0</v>
      </c>
      <c r="H76" s="17">
        <f>ROUND(H73*'Start Page'!$F$33,2)*$B$13</f>
        <v>0</v>
      </c>
      <c r="I76" s="17">
        <f>ROUND(I73*'Start Page'!$F$33,2)*$B$13</f>
        <v>0</v>
      </c>
      <c r="J76" s="17">
        <f>ROUND(J73*'Start Page'!$F$33,2)*$B$13</f>
        <v>0</v>
      </c>
      <c r="K76" s="17">
        <f>ROUND(K73*'Start Page'!$F$33,2)*$B$13</f>
        <v>0</v>
      </c>
      <c r="L76" s="17">
        <f>ROUND(L73*'Start Page'!$F$33,2)*$B$13</f>
        <v>0</v>
      </c>
      <c r="M76" s="17">
        <f>ROUND(M73*'Start Page'!$F$33,2)*$B$13</f>
        <v>0</v>
      </c>
    </row>
    <row r="77" spans="1:13" x14ac:dyDescent="0.2">
      <c r="A77" s="13"/>
      <c r="B77" s="13">
        <f>B72+B74</f>
        <v>144</v>
      </c>
      <c r="C77" s="20" t="s">
        <v>17</v>
      </c>
      <c r="D77" s="21">
        <f t="shared" ref="D77:M77" si="39">D72+D74+D76</f>
        <v>3090.48</v>
      </c>
      <c r="E77" s="21">
        <f t="shared" si="39"/>
        <v>3193.3599999999997</v>
      </c>
      <c r="F77" s="21">
        <f t="shared" si="39"/>
        <v>3295.8599999999997</v>
      </c>
      <c r="G77" s="21">
        <f t="shared" si="39"/>
        <v>3400.18</v>
      </c>
      <c r="H77" s="21">
        <f t="shared" si="39"/>
        <v>3503.0600000000004</v>
      </c>
      <c r="I77" s="21">
        <f t="shared" si="39"/>
        <v>3605.5600000000004</v>
      </c>
      <c r="J77" s="21">
        <f t="shared" si="39"/>
        <v>3708.44</v>
      </c>
      <c r="K77" s="21">
        <f t="shared" si="39"/>
        <v>3810.9399999999996</v>
      </c>
      <c r="L77" s="21">
        <f t="shared" si="39"/>
        <v>3915.26</v>
      </c>
      <c r="M77" s="21">
        <f t="shared" si="39"/>
        <v>4018.1399999999994</v>
      </c>
    </row>
    <row r="78" spans="1:13" x14ac:dyDescent="0.2">
      <c r="A78" s="13"/>
      <c r="B78" s="13"/>
      <c r="C78" s="20" t="s">
        <v>33</v>
      </c>
      <c r="D78" s="21">
        <f>D77*'Start Page'!$C$41</f>
        <v>80352.479999999996</v>
      </c>
      <c r="E78" s="21">
        <f>E77*'Start Page'!$C$41</f>
        <v>83027.359999999986</v>
      </c>
      <c r="F78" s="21">
        <f>F77*'Start Page'!$C$41</f>
        <v>85692.359999999986</v>
      </c>
      <c r="G78" s="21">
        <f>G77*'Start Page'!$C$41</f>
        <v>88404.68</v>
      </c>
      <c r="H78" s="21">
        <f>H77*'Start Page'!$C$41</f>
        <v>91079.560000000012</v>
      </c>
      <c r="I78" s="21">
        <f>I77*'Start Page'!$C$41</f>
        <v>93744.560000000012</v>
      </c>
      <c r="J78" s="21">
        <f>J77*'Start Page'!$C$41</f>
        <v>96419.44</v>
      </c>
      <c r="K78" s="21">
        <f>K77*'Start Page'!$C$41</f>
        <v>99084.439999999988</v>
      </c>
      <c r="L78" s="21">
        <f>L77*'Start Page'!$C$41</f>
        <v>101796.76000000001</v>
      </c>
      <c r="M78" s="21">
        <f>M77*'Start Page'!$C$41</f>
        <v>104471.63999999998</v>
      </c>
    </row>
    <row r="79" spans="1:13" s="25" customFormat="1" x14ac:dyDescent="0.2">
      <c r="A79" s="22"/>
      <c r="B79" s="22"/>
      <c r="C79" s="23" t="s">
        <v>105</v>
      </c>
      <c r="D79" s="24">
        <f>D73*$B$13*'Start Page'!$C$41</f>
        <v>70986.240000000005</v>
      </c>
      <c r="E79" s="24">
        <f>E73*$B$13*'Start Page'!$C$41</f>
        <v>73344.960000000006</v>
      </c>
      <c r="F79" s="24">
        <f>F73*$B$13*'Start Page'!$C$41</f>
        <v>75703.679999999993</v>
      </c>
      <c r="G79" s="24">
        <f>G73*$B$13*'Start Page'!$C$41</f>
        <v>78099.839999999997</v>
      </c>
      <c r="H79" s="24">
        <f>H73*$B$13*'Start Page'!$C$41</f>
        <v>80458.559999999998</v>
      </c>
      <c r="I79" s="24">
        <f>I73*$B$13*'Start Page'!$C$41</f>
        <v>82817.279999999999</v>
      </c>
      <c r="J79" s="24">
        <f>J73*$B$13*'Start Page'!$C$41</f>
        <v>85176</v>
      </c>
      <c r="K79" s="24">
        <f>K73*$B$13*'Start Page'!$C$41</f>
        <v>87534.720000000001</v>
      </c>
      <c r="L79" s="24">
        <f>L73*$B$13*'Start Page'!$C$41</f>
        <v>89930.880000000005</v>
      </c>
      <c r="M79" s="123">
        <f>M73*$B$13*'Start Page'!$C$41</f>
        <v>92289.599999999991</v>
      </c>
    </row>
    <row r="80" spans="1:13" x14ac:dyDescent="0.2">
      <c r="A80" s="13"/>
      <c r="B80" s="13"/>
      <c r="C80" s="14" t="s">
        <v>30</v>
      </c>
      <c r="D80" s="15">
        <f>'GS Pay Scale'!B17</f>
        <v>57408</v>
      </c>
      <c r="E80" s="15">
        <f>'GS Pay Scale'!C17</f>
        <v>59321</v>
      </c>
      <c r="F80" s="15">
        <f>'GS Pay Scale'!D17</f>
        <v>61234</v>
      </c>
      <c r="G80" s="15">
        <f>'GS Pay Scale'!E17</f>
        <v>63148</v>
      </c>
      <c r="H80" s="15">
        <f>'GS Pay Scale'!F17</f>
        <v>65061</v>
      </c>
      <c r="I80" s="15">
        <f>'GS Pay Scale'!G17</f>
        <v>66974</v>
      </c>
      <c r="J80" s="15">
        <f>'GS Pay Scale'!H17</f>
        <v>68888</v>
      </c>
      <c r="K80" s="15">
        <f>'GS Pay Scale'!I17</f>
        <v>70801</v>
      </c>
      <c r="L80" s="15">
        <f>'GS Pay Scale'!J17</f>
        <v>72714</v>
      </c>
      <c r="M80" s="15">
        <f>'GS Pay Scale'!K17</f>
        <v>74628</v>
      </c>
    </row>
    <row r="81" spans="1:13" x14ac:dyDescent="0.2">
      <c r="A81" s="13"/>
      <c r="B81" s="13">
        <v>106</v>
      </c>
      <c r="C81" s="16" t="s">
        <v>41</v>
      </c>
      <c r="D81" s="17">
        <f t="shared" ref="D81:M81" si="40">D82*106</f>
        <v>2207.98</v>
      </c>
      <c r="E81" s="17">
        <f t="shared" si="40"/>
        <v>2281.12</v>
      </c>
      <c r="F81" s="17">
        <f t="shared" si="40"/>
        <v>2355.3199999999997</v>
      </c>
      <c r="G81" s="17">
        <f t="shared" si="40"/>
        <v>2428.46</v>
      </c>
      <c r="H81" s="17">
        <f t="shared" si="40"/>
        <v>2502.66</v>
      </c>
      <c r="I81" s="17">
        <f t="shared" si="40"/>
        <v>2575.8000000000002</v>
      </c>
      <c r="J81" s="17">
        <f t="shared" si="40"/>
        <v>2650</v>
      </c>
      <c r="K81" s="17">
        <f t="shared" si="40"/>
        <v>2723.1400000000003</v>
      </c>
      <c r="L81" s="17">
        <f t="shared" si="40"/>
        <v>2796.2799999999997</v>
      </c>
      <c r="M81" s="17">
        <f t="shared" si="40"/>
        <v>2870.48</v>
      </c>
    </row>
    <row r="82" spans="1:13" x14ac:dyDescent="0.2">
      <c r="A82" s="13"/>
      <c r="B82" s="13"/>
      <c r="C82" s="16" t="s">
        <v>13</v>
      </c>
      <c r="D82" s="17">
        <f t="shared" ref="D82:M82" si="41">ROUND(D80/2756,2)</f>
        <v>20.83</v>
      </c>
      <c r="E82" s="17">
        <f t="shared" si="41"/>
        <v>21.52</v>
      </c>
      <c r="F82" s="17">
        <f t="shared" si="41"/>
        <v>22.22</v>
      </c>
      <c r="G82" s="17">
        <f t="shared" si="41"/>
        <v>22.91</v>
      </c>
      <c r="H82" s="17">
        <f t="shared" si="41"/>
        <v>23.61</v>
      </c>
      <c r="I82" s="17">
        <f t="shared" si="41"/>
        <v>24.3</v>
      </c>
      <c r="J82" s="17">
        <f t="shared" si="41"/>
        <v>25</v>
      </c>
      <c r="K82" s="17">
        <f t="shared" si="41"/>
        <v>25.69</v>
      </c>
      <c r="L82" s="17">
        <f t="shared" si="41"/>
        <v>26.38</v>
      </c>
      <c r="M82" s="17">
        <f t="shared" si="41"/>
        <v>27.08</v>
      </c>
    </row>
    <row r="83" spans="1:13" x14ac:dyDescent="0.2">
      <c r="A83" s="18"/>
      <c r="B83" s="19">
        <f>($G$3-53)*2</f>
        <v>38</v>
      </c>
      <c r="C83" s="16" t="s">
        <v>42</v>
      </c>
      <c r="D83" s="17">
        <f t="shared" ref="D83:M83" si="42">D84*$B$10</f>
        <v>1187.5</v>
      </c>
      <c r="E83" s="17">
        <f t="shared" si="42"/>
        <v>1226.6400000000001</v>
      </c>
      <c r="F83" s="17">
        <f t="shared" si="42"/>
        <v>1266.54</v>
      </c>
      <c r="G83" s="17">
        <f t="shared" si="42"/>
        <v>1306.06</v>
      </c>
      <c r="H83" s="17">
        <f t="shared" si="42"/>
        <v>1345.96</v>
      </c>
      <c r="I83" s="17">
        <f t="shared" si="42"/>
        <v>1385.1000000000001</v>
      </c>
      <c r="J83" s="17">
        <f t="shared" si="42"/>
        <v>1425</v>
      </c>
      <c r="K83" s="17">
        <f t="shared" si="42"/>
        <v>1427.2800000000002</v>
      </c>
      <c r="L83" s="17">
        <f t="shared" si="42"/>
        <v>1427.2800000000002</v>
      </c>
      <c r="M83" s="17">
        <f t="shared" si="42"/>
        <v>1427.2800000000002</v>
      </c>
    </row>
    <row r="84" spans="1:13" x14ac:dyDescent="0.2">
      <c r="A84" s="13" t="s">
        <v>16</v>
      </c>
      <c r="B84" s="13"/>
      <c r="C84" s="16" t="s">
        <v>14</v>
      </c>
      <c r="D84" s="17">
        <f t="shared" ref="D84:M84" si="43">IF(ROUND(D82*1.5,2)&lt;$G$122,ROUND(D82*1.5,2),IF($G$122&lt;D82,D82,$G$122))</f>
        <v>31.25</v>
      </c>
      <c r="E84" s="17">
        <f t="shared" si="43"/>
        <v>32.28</v>
      </c>
      <c r="F84" s="17">
        <f t="shared" si="43"/>
        <v>33.33</v>
      </c>
      <c r="G84" s="17">
        <f t="shared" si="43"/>
        <v>34.369999999999997</v>
      </c>
      <c r="H84" s="17">
        <f t="shared" si="43"/>
        <v>35.42</v>
      </c>
      <c r="I84" s="17">
        <f t="shared" si="43"/>
        <v>36.450000000000003</v>
      </c>
      <c r="J84" s="17">
        <f t="shared" si="43"/>
        <v>37.5</v>
      </c>
      <c r="K84" s="17">
        <f t="shared" si="43"/>
        <v>37.56</v>
      </c>
      <c r="L84" s="17">
        <f t="shared" si="43"/>
        <v>37.56</v>
      </c>
      <c r="M84" s="17">
        <f t="shared" si="43"/>
        <v>37.56</v>
      </c>
    </row>
    <row r="85" spans="1:13" s="64" customFormat="1" x14ac:dyDescent="0.2">
      <c r="A85" s="63"/>
      <c r="B85" s="63"/>
      <c r="C85" s="32" t="s">
        <v>46</v>
      </c>
      <c r="D85" s="17">
        <f>ROUND(D82*'Start Page'!$F$33,2)*$B$13</f>
        <v>0</v>
      </c>
      <c r="E85" s="17">
        <f>ROUND(E82*'Start Page'!$F$33,2)*$B$13</f>
        <v>0</v>
      </c>
      <c r="F85" s="17">
        <f>ROUND(F82*'Start Page'!$F$33,2)*$B$13</f>
        <v>0</v>
      </c>
      <c r="G85" s="17">
        <f>ROUND(G82*'Start Page'!$F$33,2)*$B$13</f>
        <v>0</v>
      </c>
      <c r="H85" s="17">
        <f>ROUND(H82*'Start Page'!$F$33,2)*$B$13</f>
        <v>0</v>
      </c>
      <c r="I85" s="17">
        <f>ROUND(I82*'Start Page'!$F$33,2)*$B$13</f>
        <v>0</v>
      </c>
      <c r="J85" s="17">
        <f>ROUND(J82*'Start Page'!$F$33,2)*$B$13</f>
        <v>0</v>
      </c>
      <c r="K85" s="17">
        <f>ROUND(K82*'Start Page'!$F$33,2)*$B$13</f>
        <v>0</v>
      </c>
      <c r="L85" s="17">
        <f>ROUND(L82*'Start Page'!$F$33,2)*$B$13</f>
        <v>0</v>
      </c>
      <c r="M85" s="17">
        <f>ROUND(M82*'Start Page'!$F$33,2)*$B$13</f>
        <v>0</v>
      </c>
    </row>
    <row r="86" spans="1:13" x14ac:dyDescent="0.2">
      <c r="A86" s="13"/>
      <c r="B86" s="13">
        <f>B81+B83</f>
        <v>144</v>
      </c>
      <c r="C86" s="20" t="s">
        <v>17</v>
      </c>
      <c r="D86" s="21">
        <f t="shared" ref="D86:M86" si="44">D81+D83+D85</f>
        <v>3395.48</v>
      </c>
      <c r="E86" s="21">
        <f t="shared" si="44"/>
        <v>3507.76</v>
      </c>
      <c r="F86" s="21">
        <f t="shared" si="44"/>
        <v>3621.8599999999997</v>
      </c>
      <c r="G86" s="21">
        <f t="shared" si="44"/>
        <v>3734.52</v>
      </c>
      <c r="H86" s="21">
        <f t="shared" si="44"/>
        <v>3848.62</v>
      </c>
      <c r="I86" s="21">
        <f t="shared" si="44"/>
        <v>3960.9000000000005</v>
      </c>
      <c r="J86" s="21">
        <f t="shared" si="44"/>
        <v>4075</v>
      </c>
      <c r="K86" s="21">
        <f t="shared" si="44"/>
        <v>4150.42</v>
      </c>
      <c r="L86" s="21">
        <f t="shared" si="44"/>
        <v>4223.5599999999995</v>
      </c>
      <c r="M86" s="21">
        <f t="shared" si="44"/>
        <v>4297.76</v>
      </c>
    </row>
    <row r="87" spans="1:13" x14ac:dyDescent="0.2">
      <c r="A87" s="13"/>
      <c r="B87" s="13"/>
      <c r="C87" s="20" t="s">
        <v>33</v>
      </c>
      <c r="D87" s="21">
        <f>D86*'Start Page'!$C$41</f>
        <v>88282.48</v>
      </c>
      <c r="E87" s="21">
        <f>E86*'Start Page'!$C$41</f>
        <v>91201.760000000009</v>
      </c>
      <c r="F87" s="21">
        <f>F86*'Start Page'!$C$41</f>
        <v>94168.359999999986</v>
      </c>
      <c r="G87" s="21">
        <f>G86*'Start Page'!$C$41</f>
        <v>97097.52</v>
      </c>
      <c r="H87" s="21">
        <f>H86*'Start Page'!$C$41</f>
        <v>100064.12</v>
      </c>
      <c r="I87" s="21">
        <f>I86*'Start Page'!$C$41</f>
        <v>102983.40000000001</v>
      </c>
      <c r="J87" s="21">
        <f>J86*'Start Page'!$C$41</f>
        <v>105950</v>
      </c>
      <c r="K87" s="21">
        <f>K86*'Start Page'!$C$41</f>
        <v>107910.92</v>
      </c>
      <c r="L87" s="21">
        <f>L86*'Start Page'!$C$41</f>
        <v>109812.55999999998</v>
      </c>
      <c r="M87" s="21">
        <f>M86*'Start Page'!$C$41</f>
        <v>111741.76000000001</v>
      </c>
    </row>
    <row r="88" spans="1:13" s="25" customFormat="1" x14ac:dyDescent="0.2">
      <c r="A88" s="22"/>
      <c r="B88" s="22"/>
      <c r="C88" s="23" t="s">
        <v>105</v>
      </c>
      <c r="D88" s="24">
        <f>D82*$B$13*'Start Page'!$C$41</f>
        <v>77987.51999999999</v>
      </c>
      <c r="E88" s="24">
        <f>E82*$B$13*'Start Page'!$C$41</f>
        <v>80570.880000000005</v>
      </c>
      <c r="F88" s="24">
        <f>F82*$B$13*'Start Page'!$C$41</f>
        <v>83191.679999999993</v>
      </c>
      <c r="G88" s="24">
        <f>G82*$B$13*'Start Page'!$C$41</f>
        <v>85775.039999999994</v>
      </c>
      <c r="H88" s="24">
        <f>H82*$B$13*'Start Page'!$C$41</f>
        <v>88395.839999999997</v>
      </c>
      <c r="I88" s="24">
        <f>I82*$B$13*'Start Page'!$C$41</f>
        <v>90979.200000000012</v>
      </c>
      <c r="J88" s="24">
        <f>J82*$B$13*'Start Page'!$C$41</f>
        <v>93600</v>
      </c>
      <c r="K88" s="24">
        <f>K82*$B$13*'Start Page'!$C$41</f>
        <v>96183.360000000001</v>
      </c>
      <c r="L88" s="24">
        <f>L82*$B$13*'Start Page'!$C$41</f>
        <v>98766.720000000001</v>
      </c>
      <c r="M88" s="123">
        <f>M82*$B$13*'Start Page'!$C$41</f>
        <v>101387.51999999999</v>
      </c>
    </row>
    <row r="89" spans="1:13" x14ac:dyDescent="0.2">
      <c r="A89" s="13"/>
      <c r="B89" s="13"/>
      <c r="C89" s="14" t="s">
        <v>30</v>
      </c>
      <c r="D89" s="15">
        <f>'GS Pay Scale'!B18</f>
        <v>68809</v>
      </c>
      <c r="E89" s="15">
        <f>'GS Pay Scale'!C18</f>
        <v>71102</v>
      </c>
      <c r="F89" s="15">
        <f>'GS Pay Scale'!D18</f>
        <v>73396</v>
      </c>
      <c r="G89" s="15">
        <f>'GS Pay Scale'!E18</f>
        <v>75689</v>
      </c>
      <c r="H89" s="15">
        <f>'GS Pay Scale'!F18</f>
        <v>77983</v>
      </c>
      <c r="I89" s="15">
        <f>'GS Pay Scale'!G18</f>
        <v>80276</v>
      </c>
      <c r="J89" s="15">
        <f>'GS Pay Scale'!H18</f>
        <v>82570</v>
      </c>
      <c r="K89" s="15">
        <f>'GS Pay Scale'!I18</f>
        <v>84863</v>
      </c>
      <c r="L89" s="15">
        <f>'GS Pay Scale'!J18</f>
        <v>87157</v>
      </c>
      <c r="M89" s="15">
        <f>'GS Pay Scale'!K18</f>
        <v>89450</v>
      </c>
    </row>
    <row r="90" spans="1:13" x14ac:dyDescent="0.2">
      <c r="A90" s="13"/>
      <c r="B90" s="13">
        <v>106</v>
      </c>
      <c r="C90" s="16" t="s">
        <v>41</v>
      </c>
      <c r="D90" s="17">
        <f t="shared" ref="D90:M90" si="45">D91*106</f>
        <v>2646.8199999999997</v>
      </c>
      <c r="E90" s="17">
        <f t="shared" si="45"/>
        <v>2734.8</v>
      </c>
      <c r="F90" s="17">
        <f t="shared" si="45"/>
        <v>2822.7799999999997</v>
      </c>
      <c r="G90" s="17">
        <f t="shared" si="45"/>
        <v>2910.76</v>
      </c>
      <c r="H90" s="17">
        <f t="shared" si="45"/>
        <v>2999.8</v>
      </c>
      <c r="I90" s="17">
        <f t="shared" si="45"/>
        <v>3087.7799999999997</v>
      </c>
      <c r="J90" s="17">
        <f t="shared" si="45"/>
        <v>3175.76</v>
      </c>
      <c r="K90" s="17">
        <f t="shared" si="45"/>
        <v>3263.74</v>
      </c>
      <c r="L90" s="17">
        <f t="shared" si="45"/>
        <v>3351.7200000000003</v>
      </c>
      <c r="M90" s="17">
        <f t="shared" si="45"/>
        <v>3440.76</v>
      </c>
    </row>
    <row r="91" spans="1:13" x14ac:dyDescent="0.2">
      <c r="A91" s="13"/>
      <c r="B91" s="13"/>
      <c r="C91" s="16" t="s">
        <v>13</v>
      </c>
      <c r="D91" s="17">
        <f t="shared" ref="D91:M91" si="46">ROUND(D89/2756,2)</f>
        <v>24.97</v>
      </c>
      <c r="E91" s="17">
        <f t="shared" si="46"/>
        <v>25.8</v>
      </c>
      <c r="F91" s="17">
        <f t="shared" si="46"/>
        <v>26.63</v>
      </c>
      <c r="G91" s="17">
        <f t="shared" si="46"/>
        <v>27.46</v>
      </c>
      <c r="H91" s="17">
        <f t="shared" si="46"/>
        <v>28.3</v>
      </c>
      <c r="I91" s="17">
        <f t="shared" si="46"/>
        <v>29.13</v>
      </c>
      <c r="J91" s="17">
        <f t="shared" si="46"/>
        <v>29.96</v>
      </c>
      <c r="K91" s="17">
        <f t="shared" si="46"/>
        <v>30.79</v>
      </c>
      <c r="L91" s="17">
        <f t="shared" si="46"/>
        <v>31.62</v>
      </c>
      <c r="M91" s="17">
        <f t="shared" si="46"/>
        <v>32.46</v>
      </c>
    </row>
    <row r="92" spans="1:13" x14ac:dyDescent="0.2">
      <c r="A92" s="18"/>
      <c r="B92" s="19">
        <f>($G$3-53)*2</f>
        <v>38</v>
      </c>
      <c r="C92" s="16" t="s">
        <v>42</v>
      </c>
      <c r="D92" s="17">
        <f t="shared" ref="D92:M92" si="47">D93*$B$10</f>
        <v>1423.48</v>
      </c>
      <c r="E92" s="17">
        <f t="shared" si="47"/>
        <v>1427.2800000000002</v>
      </c>
      <c r="F92" s="17">
        <f t="shared" si="47"/>
        <v>1427.2800000000002</v>
      </c>
      <c r="G92" s="17">
        <f t="shared" si="47"/>
        <v>1427.2800000000002</v>
      </c>
      <c r="H92" s="17">
        <f t="shared" si="47"/>
        <v>1427.2800000000002</v>
      </c>
      <c r="I92" s="17">
        <f t="shared" si="47"/>
        <v>1427.2800000000002</v>
      </c>
      <c r="J92" s="17">
        <f t="shared" si="47"/>
        <v>1427.2800000000002</v>
      </c>
      <c r="K92" s="17">
        <f t="shared" si="47"/>
        <v>1427.2800000000002</v>
      </c>
      <c r="L92" s="17">
        <f t="shared" si="47"/>
        <v>1427.2800000000002</v>
      </c>
      <c r="M92" s="17">
        <f t="shared" si="47"/>
        <v>1427.2800000000002</v>
      </c>
    </row>
    <row r="93" spans="1:13" x14ac:dyDescent="0.2">
      <c r="A93" s="13" t="s">
        <v>26</v>
      </c>
      <c r="B93" s="13"/>
      <c r="C93" s="16" t="s">
        <v>14</v>
      </c>
      <c r="D93" s="17">
        <f t="shared" ref="D93:M93" si="48">IF(ROUND(D91*1.5,2)&lt;$G$122,ROUND(D91*1.5,2),IF($G$122&lt;D91,D91,$G$122))</f>
        <v>37.46</v>
      </c>
      <c r="E93" s="17">
        <f t="shared" si="48"/>
        <v>37.56</v>
      </c>
      <c r="F93" s="17">
        <f t="shared" si="48"/>
        <v>37.56</v>
      </c>
      <c r="G93" s="17">
        <f t="shared" si="48"/>
        <v>37.56</v>
      </c>
      <c r="H93" s="17">
        <f t="shared" si="48"/>
        <v>37.56</v>
      </c>
      <c r="I93" s="17">
        <f t="shared" si="48"/>
        <v>37.56</v>
      </c>
      <c r="J93" s="17">
        <f t="shared" si="48"/>
        <v>37.56</v>
      </c>
      <c r="K93" s="17">
        <f t="shared" si="48"/>
        <v>37.56</v>
      </c>
      <c r="L93" s="17">
        <f t="shared" si="48"/>
        <v>37.56</v>
      </c>
      <c r="M93" s="17">
        <f t="shared" si="48"/>
        <v>37.56</v>
      </c>
    </row>
    <row r="94" spans="1:13" s="64" customFormat="1" x14ac:dyDescent="0.2">
      <c r="A94" s="63"/>
      <c r="B94" s="63"/>
      <c r="C94" s="32" t="s">
        <v>46</v>
      </c>
      <c r="D94" s="17">
        <f>ROUND(D91*'Start Page'!$F$33,2)*$B$13</f>
        <v>0</v>
      </c>
      <c r="E94" s="17">
        <f>ROUND(E91*'Start Page'!$F$33,2)*$B$13</f>
        <v>0</v>
      </c>
      <c r="F94" s="17">
        <f>ROUND(F91*'Start Page'!$F$33,2)*$B$13</f>
        <v>0</v>
      </c>
      <c r="G94" s="17">
        <f>ROUND(G91*'Start Page'!$F$33,2)*$B$13</f>
        <v>0</v>
      </c>
      <c r="H94" s="17">
        <f>ROUND(H91*'Start Page'!$F$33,2)*$B$13</f>
        <v>0</v>
      </c>
      <c r="I94" s="17">
        <f>ROUND(I91*'Start Page'!$F$33,2)*$B$13</f>
        <v>0</v>
      </c>
      <c r="J94" s="17">
        <f>ROUND(J91*'Start Page'!$F$33,2)*$B$13</f>
        <v>0</v>
      </c>
      <c r="K94" s="17">
        <f>ROUND(K91*'Start Page'!$F$33,2)*$B$13</f>
        <v>0</v>
      </c>
      <c r="L94" s="17">
        <f>ROUND(L91*'Start Page'!$F$33,2)*$B$13</f>
        <v>0</v>
      </c>
      <c r="M94" s="17">
        <f>ROUND(M91*'Start Page'!$F$33,2)*$B$13</f>
        <v>0</v>
      </c>
    </row>
    <row r="95" spans="1:13" x14ac:dyDescent="0.2">
      <c r="A95" s="13"/>
      <c r="B95" s="13">
        <f>B90+B92</f>
        <v>144</v>
      </c>
      <c r="C95" s="20" t="s">
        <v>17</v>
      </c>
      <c r="D95" s="21">
        <f t="shared" ref="D95:M95" si="49">D90+D92+D94</f>
        <v>4070.2999999999997</v>
      </c>
      <c r="E95" s="21">
        <f t="shared" si="49"/>
        <v>4162.08</v>
      </c>
      <c r="F95" s="21">
        <f t="shared" si="49"/>
        <v>4250.0599999999995</v>
      </c>
      <c r="G95" s="21">
        <f t="shared" si="49"/>
        <v>4338.0400000000009</v>
      </c>
      <c r="H95" s="21">
        <f t="shared" si="49"/>
        <v>4427.08</v>
      </c>
      <c r="I95" s="21">
        <f t="shared" si="49"/>
        <v>4515.0599999999995</v>
      </c>
      <c r="J95" s="21">
        <f t="shared" si="49"/>
        <v>4603.0400000000009</v>
      </c>
      <c r="K95" s="21">
        <f t="shared" si="49"/>
        <v>4691.0200000000004</v>
      </c>
      <c r="L95" s="21">
        <f t="shared" si="49"/>
        <v>4779</v>
      </c>
      <c r="M95" s="21">
        <f t="shared" si="49"/>
        <v>4868.0400000000009</v>
      </c>
    </row>
    <row r="96" spans="1:13" x14ac:dyDescent="0.2">
      <c r="A96" s="13"/>
      <c r="B96" s="13"/>
      <c r="C96" s="20" t="s">
        <v>33</v>
      </c>
      <c r="D96" s="21">
        <f>D95*'Start Page'!$C$41</f>
        <v>105827.79999999999</v>
      </c>
      <c r="E96" s="21">
        <f>E95*'Start Page'!$C$41</f>
        <v>108214.08</v>
      </c>
      <c r="F96" s="21">
        <f>F95*'Start Page'!$C$41</f>
        <v>110501.55999999998</v>
      </c>
      <c r="G96" s="21">
        <f>G95*'Start Page'!$C$41</f>
        <v>112789.04000000002</v>
      </c>
      <c r="H96" s="21">
        <f>H95*'Start Page'!$C$41</f>
        <v>115104.08</v>
      </c>
      <c r="I96" s="21">
        <f>I95*'Start Page'!$C$41</f>
        <v>117391.55999999998</v>
      </c>
      <c r="J96" s="21">
        <f>J95*'Start Page'!$C$41</f>
        <v>119679.04000000002</v>
      </c>
      <c r="K96" s="21">
        <f>K95*'Start Page'!$C$41</f>
        <v>121966.52000000002</v>
      </c>
      <c r="L96" s="21">
        <f>L95*'Start Page'!$C$41</f>
        <v>124254</v>
      </c>
      <c r="M96" s="21">
        <f>M95*'Start Page'!$C$41</f>
        <v>126569.04000000002</v>
      </c>
    </row>
    <row r="97" spans="1:13" s="25" customFormat="1" x14ac:dyDescent="0.2">
      <c r="A97" s="22"/>
      <c r="B97" s="22"/>
      <c r="C97" s="23" t="s">
        <v>105</v>
      </c>
      <c r="D97" s="24">
        <f>D91*$B$13*'Start Page'!$C$41</f>
        <v>93487.679999999993</v>
      </c>
      <c r="E97" s="24">
        <f>E91*$B$13*'Start Page'!$C$41</f>
        <v>96595.200000000012</v>
      </c>
      <c r="F97" s="24">
        <f>F91*$B$13*'Start Page'!$C$41</f>
        <v>99702.720000000001</v>
      </c>
      <c r="G97" s="24">
        <f>G91*$B$13*'Start Page'!$C$41</f>
        <v>102810.24000000001</v>
      </c>
      <c r="H97" s="24">
        <f>H91*$B$13*'Start Page'!$C$41</f>
        <v>105955.20000000001</v>
      </c>
      <c r="I97" s="24">
        <f>I91*$B$13*'Start Page'!$C$41</f>
        <v>109062.72</v>
      </c>
      <c r="J97" s="24">
        <f>J91*$B$13*'Start Page'!$C$41</f>
        <v>112170.23999999999</v>
      </c>
      <c r="K97" s="24">
        <f>K91*$B$13*'Start Page'!$C$41</f>
        <v>115277.76000000001</v>
      </c>
      <c r="L97" s="24">
        <f>L91*$B$13*'Start Page'!$C$41</f>
        <v>118385.28</v>
      </c>
      <c r="M97" s="123">
        <f>M91*$B$13*'Start Page'!$C$41</f>
        <v>121530.23999999999</v>
      </c>
    </row>
    <row r="98" spans="1:13" s="25" customFormat="1" x14ac:dyDescent="0.2">
      <c r="A98" s="13"/>
      <c r="B98" s="13"/>
      <c r="C98" s="14" t="s">
        <v>30</v>
      </c>
      <c r="D98" s="15">
        <f>'GS Pay Scale'!B19</f>
        <v>81823</v>
      </c>
      <c r="E98" s="15">
        <f>'GS Pay Scale'!C19</f>
        <v>84550</v>
      </c>
      <c r="F98" s="15">
        <f>'GS Pay Scale'!D19</f>
        <v>87278</v>
      </c>
      <c r="G98" s="15">
        <f>'GS Pay Scale'!E19</f>
        <v>90005</v>
      </c>
      <c r="H98" s="15">
        <f>'GS Pay Scale'!F19</f>
        <v>92732</v>
      </c>
      <c r="I98" s="15">
        <f>'GS Pay Scale'!G19</f>
        <v>95459</v>
      </c>
      <c r="J98" s="15">
        <f>'GS Pay Scale'!H19</f>
        <v>98187</v>
      </c>
      <c r="K98" s="15">
        <f>'GS Pay Scale'!I19</f>
        <v>100914</v>
      </c>
      <c r="L98" s="15">
        <f>'GS Pay Scale'!J19</f>
        <v>103641</v>
      </c>
      <c r="M98" s="15">
        <f>'GS Pay Scale'!K19</f>
        <v>106369</v>
      </c>
    </row>
    <row r="99" spans="1:13" s="25" customFormat="1" x14ac:dyDescent="0.2">
      <c r="A99" s="13"/>
      <c r="B99" s="13">
        <v>106</v>
      </c>
      <c r="C99" s="16" t="s">
        <v>41</v>
      </c>
      <c r="D99" s="17">
        <f t="shared" ref="D99:M99" si="50">D100*106</f>
        <v>3147.1400000000003</v>
      </c>
      <c r="E99" s="17">
        <f t="shared" si="50"/>
        <v>3252.08</v>
      </c>
      <c r="F99" s="17">
        <f t="shared" si="50"/>
        <v>3357.02</v>
      </c>
      <c r="G99" s="17">
        <f t="shared" si="50"/>
        <v>3461.9599999999996</v>
      </c>
      <c r="H99" s="17">
        <f t="shared" si="50"/>
        <v>3566.8999999999996</v>
      </c>
      <c r="I99" s="17">
        <f t="shared" si="50"/>
        <v>3671.84</v>
      </c>
      <c r="J99" s="17">
        <f t="shared" si="50"/>
        <v>3776.78</v>
      </c>
      <c r="K99" s="17">
        <f t="shared" si="50"/>
        <v>3881.72</v>
      </c>
      <c r="L99" s="17">
        <f t="shared" si="50"/>
        <v>3986.66</v>
      </c>
      <c r="M99" s="17">
        <f t="shared" si="50"/>
        <v>4091.6000000000004</v>
      </c>
    </row>
    <row r="100" spans="1:13" s="25" customFormat="1" x14ac:dyDescent="0.2">
      <c r="A100" s="13"/>
      <c r="B100" s="13"/>
      <c r="C100" s="16" t="s">
        <v>13</v>
      </c>
      <c r="D100" s="17">
        <f t="shared" ref="D100:M100" si="51">ROUND(D98/2756,2)</f>
        <v>29.69</v>
      </c>
      <c r="E100" s="17">
        <f t="shared" si="51"/>
        <v>30.68</v>
      </c>
      <c r="F100" s="17">
        <f t="shared" si="51"/>
        <v>31.67</v>
      </c>
      <c r="G100" s="17">
        <f t="shared" si="51"/>
        <v>32.659999999999997</v>
      </c>
      <c r="H100" s="17">
        <f t="shared" si="51"/>
        <v>33.65</v>
      </c>
      <c r="I100" s="17">
        <f t="shared" si="51"/>
        <v>34.64</v>
      </c>
      <c r="J100" s="17">
        <f t="shared" si="51"/>
        <v>35.630000000000003</v>
      </c>
      <c r="K100" s="17">
        <f t="shared" si="51"/>
        <v>36.619999999999997</v>
      </c>
      <c r="L100" s="17">
        <f t="shared" si="51"/>
        <v>37.61</v>
      </c>
      <c r="M100" s="17">
        <f t="shared" si="51"/>
        <v>38.6</v>
      </c>
    </row>
    <row r="101" spans="1:13" s="25" customFormat="1" x14ac:dyDescent="0.2">
      <c r="A101" s="18"/>
      <c r="B101" s="19">
        <f>($G$3-53)*2</f>
        <v>38</v>
      </c>
      <c r="C101" s="16" t="s">
        <v>42</v>
      </c>
      <c r="D101" s="17">
        <f t="shared" ref="D101:M101" si="52">D102*$B$10</f>
        <v>1427.2800000000002</v>
      </c>
      <c r="E101" s="17">
        <f t="shared" si="52"/>
        <v>1427.2800000000002</v>
      </c>
      <c r="F101" s="17">
        <f t="shared" si="52"/>
        <v>1427.2800000000002</v>
      </c>
      <c r="G101" s="17">
        <f t="shared" si="52"/>
        <v>1427.2800000000002</v>
      </c>
      <c r="H101" s="17">
        <f t="shared" si="52"/>
        <v>1427.2800000000002</v>
      </c>
      <c r="I101" s="17">
        <f t="shared" si="52"/>
        <v>1427.2800000000002</v>
      </c>
      <c r="J101" s="17">
        <f t="shared" si="52"/>
        <v>1427.2800000000002</v>
      </c>
      <c r="K101" s="17">
        <f t="shared" si="52"/>
        <v>1427.2800000000002</v>
      </c>
      <c r="L101" s="17">
        <f t="shared" si="52"/>
        <v>1429.18</v>
      </c>
      <c r="M101" s="17">
        <f t="shared" si="52"/>
        <v>1466.8</v>
      </c>
    </row>
    <row r="102" spans="1:13" s="25" customFormat="1" x14ac:dyDescent="0.2">
      <c r="A102" s="13" t="s">
        <v>31</v>
      </c>
      <c r="B102" s="13"/>
      <c r="C102" s="16" t="s">
        <v>14</v>
      </c>
      <c r="D102" s="17">
        <f t="shared" ref="D102:M102" si="53">IF(ROUND(D100*1.5,2)&lt;$G$122,ROUND(D100*1.5,2),IF($G$122&lt;D100,D100,$G$122))</f>
        <v>37.56</v>
      </c>
      <c r="E102" s="17">
        <f t="shared" si="53"/>
        <v>37.56</v>
      </c>
      <c r="F102" s="17">
        <f t="shared" si="53"/>
        <v>37.56</v>
      </c>
      <c r="G102" s="17">
        <f t="shared" si="53"/>
        <v>37.56</v>
      </c>
      <c r="H102" s="17">
        <f t="shared" si="53"/>
        <v>37.56</v>
      </c>
      <c r="I102" s="17">
        <f t="shared" si="53"/>
        <v>37.56</v>
      </c>
      <c r="J102" s="17">
        <f t="shared" si="53"/>
        <v>37.56</v>
      </c>
      <c r="K102" s="17">
        <f t="shared" si="53"/>
        <v>37.56</v>
      </c>
      <c r="L102" s="17">
        <f t="shared" si="53"/>
        <v>37.61</v>
      </c>
      <c r="M102" s="17">
        <f t="shared" si="53"/>
        <v>38.6</v>
      </c>
    </row>
    <row r="103" spans="1:13" s="25" customFormat="1" x14ac:dyDescent="0.2">
      <c r="A103" s="63"/>
      <c r="B103" s="63"/>
      <c r="C103" s="32" t="s">
        <v>46</v>
      </c>
      <c r="D103" s="17">
        <f>ROUND(D100*'Start Page'!$F$33,2)*$B$13</f>
        <v>0</v>
      </c>
      <c r="E103" s="17">
        <f>ROUND(E100*'Start Page'!$F$33,2)*$B$13</f>
        <v>0</v>
      </c>
      <c r="F103" s="17">
        <f>ROUND(F100*'Start Page'!$F$33,2)*$B$13</f>
        <v>0</v>
      </c>
      <c r="G103" s="17">
        <f>ROUND(G100*'Start Page'!$F$33,2)*$B$13</f>
        <v>0</v>
      </c>
      <c r="H103" s="17">
        <f>ROUND(H100*'Start Page'!$F$33,2)*$B$13</f>
        <v>0</v>
      </c>
      <c r="I103" s="17">
        <f>ROUND(I100*'Start Page'!$F$33,2)*$B$13</f>
        <v>0</v>
      </c>
      <c r="J103" s="17">
        <f>ROUND(J100*'Start Page'!$F$33,2)*$B$13</f>
        <v>0</v>
      </c>
      <c r="K103" s="17">
        <f>ROUND(K100*'Start Page'!$F$33,2)*$B$13</f>
        <v>0</v>
      </c>
      <c r="L103" s="17">
        <f>ROUND(L100*'Start Page'!$F$33,2)*$B$13</f>
        <v>0</v>
      </c>
      <c r="M103" s="17">
        <f>ROUND(M100*'Start Page'!$F$33,2)*$B$13</f>
        <v>0</v>
      </c>
    </row>
    <row r="104" spans="1:13" s="25" customFormat="1" x14ac:dyDescent="0.2">
      <c r="A104" s="13"/>
      <c r="B104" s="13">
        <f>B99+B101</f>
        <v>144</v>
      </c>
      <c r="C104" s="20" t="s">
        <v>17</v>
      </c>
      <c r="D104" s="21">
        <f t="shared" ref="D104:M104" si="54">D99+D101+D103</f>
        <v>4574.42</v>
      </c>
      <c r="E104" s="21">
        <f t="shared" si="54"/>
        <v>4679.3600000000006</v>
      </c>
      <c r="F104" s="21">
        <f t="shared" si="54"/>
        <v>4784.3</v>
      </c>
      <c r="G104" s="21">
        <f t="shared" si="54"/>
        <v>4889.24</v>
      </c>
      <c r="H104" s="21">
        <f t="shared" si="54"/>
        <v>4994.18</v>
      </c>
      <c r="I104" s="21">
        <f t="shared" si="54"/>
        <v>5099.1200000000008</v>
      </c>
      <c r="J104" s="21">
        <f t="shared" si="54"/>
        <v>5204.0600000000004</v>
      </c>
      <c r="K104" s="21">
        <f t="shared" si="54"/>
        <v>5309</v>
      </c>
      <c r="L104" s="21">
        <f t="shared" si="54"/>
        <v>5415.84</v>
      </c>
      <c r="M104" s="21">
        <f t="shared" si="54"/>
        <v>5558.4000000000005</v>
      </c>
    </row>
    <row r="105" spans="1:13" s="25" customFormat="1" x14ac:dyDescent="0.2">
      <c r="A105" s="13"/>
      <c r="B105" s="13"/>
      <c r="C105" s="20" t="s">
        <v>33</v>
      </c>
      <c r="D105" s="21">
        <f>D104*'Start Page'!$C$41</f>
        <v>118934.92</v>
      </c>
      <c r="E105" s="21">
        <f>E104*'Start Page'!$C$41</f>
        <v>121663.36000000002</v>
      </c>
      <c r="F105" s="21">
        <f>F104*'Start Page'!$C$41</f>
        <v>124391.8</v>
      </c>
      <c r="G105" s="21">
        <f>G104*'Start Page'!$C$41</f>
        <v>127120.23999999999</v>
      </c>
      <c r="H105" s="21">
        <f>H104*'Start Page'!$C$41</f>
        <v>129848.68000000001</v>
      </c>
      <c r="I105" s="21">
        <f>I104*'Start Page'!$C$41</f>
        <v>132577.12000000002</v>
      </c>
      <c r="J105" s="21">
        <f>J104*'Start Page'!$C$41</f>
        <v>135305.56</v>
      </c>
      <c r="K105" s="21">
        <f>K104*'Start Page'!$C$41</f>
        <v>138034</v>
      </c>
      <c r="L105" s="21">
        <f>L104*'Start Page'!$C$41</f>
        <v>140811.84</v>
      </c>
      <c r="M105" s="21">
        <f>M104*'Start Page'!$C$41</f>
        <v>144518.40000000002</v>
      </c>
    </row>
    <row r="106" spans="1:13" s="25" customFormat="1" x14ac:dyDescent="0.2">
      <c r="A106" s="22"/>
      <c r="B106" s="22"/>
      <c r="C106" s="23" t="s">
        <v>105</v>
      </c>
      <c r="D106" s="24">
        <f>D100*$B$13*'Start Page'!$C$41</f>
        <v>111159.36000000002</v>
      </c>
      <c r="E106" s="24">
        <f>E100*$B$13*'Start Page'!$C$41</f>
        <v>114865.92</v>
      </c>
      <c r="F106" s="24">
        <f>F100*$B$13*'Start Page'!$C$41</f>
        <v>118572.48000000001</v>
      </c>
      <c r="G106" s="24">
        <f>G100*$B$13*'Start Page'!$C$41</f>
        <v>122279.03999999998</v>
      </c>
      <c r="H106" s="24">
        <f>H100*$B$13*'Start Page'!$C$41</f>
        <v>125985.59999999999</v>
      </c>
      <c r="I106" s="24">
        <f>I100*$B$13*'Start Page'!$C$41</f>
        <v>129692.16</v>
      </c>
      <c r="J106" s="24">
        <f>J100*$B$13*'Start Page'!$C$41</f>
        <v>133398.72</v>
      </c>
      <c r="K106" s="24">
        <f>K100*$B$13*'Start Page'!$C$41</f>
        <v>137105.28</v>
      </c>
      <c r="L106" s="24">
        <f>L100*$B$13*'Start Page'!$C$41</f>
        <v>140811.84</v>
      </c>
      <c r="M106" s="123">
        <f>M100*$B$13*'Start Page'!$C$41</f>
        <v>144518.40000000002</v>
      </c>
    </row>
    <row r="107" spans="1:13" x14ac:dyDescent="0.2">
      <c r="A107" s="13"/>
      <c r="B107" s="13"/>
      <c r="C107" s="14" t="s">
        <v>30</v>
      </c>
      <c r="D107" s="15">
        <f>'GS Pay Scale'!B20</f>
        <v>96690</v>
      </c>
      <c r="E107" s="15">
        <f>'GS Pay Scale'!C20</f>
        <v>99913</v>
      </c>
      <c r="F107" s="15">
        <f>'GS Pay Scale'!D20</f>
        <v>103136</v>
      </c>
      <c r="G107" s="15">
        <f>'GS Pay Scale'!E20</f>
        <v>106358</v>
      </c>
      <c r="H107" s="15">
        <f>'GS Pay Scale'!F20</f>
        <v>109581</v>
      </c>
      <c r="I107" s="15">
        <f>'GS Pay Scale'!G20</f>
        <v>112804</v>
      </c>
      <c r="J107" s="15">
        <f>'GS Pay Scale'!H20</f>
        <v>116027</v>
      </c>
      <c r="K107" s="15">
        <f>'GS Pay Scale'!I20</f>
        <v>119249</v>
      </c>
      <c r="L107" s="15">
        <f>'GS Pay Scale'!J20</f>
        <v>122472</v>
      </c>
      <c r="M107" s="15">
        <f>'GS Pay Scale'!K20</f>
        <v>125695</v>
      </c>
    </row>
    <row r="108" spans="1:13" x14ac:dyDescent="0.2">
      <c r="A108" s="13"/>
      <c r="B108" s="13">
        <v>106</v>
      </c>
      <c r="C108" s="16" t="s">
        <v>41</v>
      </c>
      <c r="D108" s="17">
        <f t="shared" ref="D108:M108" si="55">D109*106</f>
        <v>3718.48</v>
      </c>
      <c r="E108" s="17">
        <f t="shared" si="55"/>
        <v>3842.5</v>
      </c>
      <c r="F108" s="17">
        <f t="shared" si="55"/>
        <v>3966.52</v>
      </c>
      <c r="G108" s="17">
        <f t="shared" si="55"/>
        <v>4090.5400000000004</v>
      </c>
      <c r="H108" s="17">
        <f t="shared" si="55"/>
        <v>4214.5599999999995</v>
      </c>
      <c r="I108" s="17">
        <f t="shared" si="55"/>
        <v>4338.58</v>
      </c>
      <c r="J108" s="17">
        <f t="shared" si="55"/>
        <v>4462.6000000000004</v>
      </c>
      <c r="K108" s="17">
        <f t="shared" si="55"/>
        <v>4586.62</v>
      </c>
      <c r="L108" s="17">
        <f t="shared" si="55"/>
        <v>4710.6399999999994</v>
      </c>
      <c r="M108" s="17">
        <f t="shared" si="55"/>
        <v>4834.66</v>
      </c>
    </row>
    <row r="109" spans="1:13" x14ac:dyDescent="0.2">
      <c r="A109" s="13"/>
      <c r="B109" s="13"/>
      <c r="C109" s="16" t="s">
        <v>13</v>
      </c>
      <c r="D109" s="17">
        <f t="shared" ref="D109:M109" si="56">ROUND(D107/2756,2)</f>
        <v>35.08</v>
      </c>
      <c r="E109" s="17">
        <f t="shared" si="56"/>
        <v>36.25</v>
      </c>
      <c r="F109" s="17">
        <f t="shared" si="56"/>
        <v>37.42</v>
      </c>
      <c r="G109" s="17">
        <f t="shared" si="56"/>
        <v>38.590000000000003</v>
      </c>
      <c r="H109" s="17">
        <f t="shared" si="56"/>
        <v>39.76</v>
      </c>
      <c r="I109" s="17">
        <f t="shared" si="56"/>
        <v>40.93</v>
      </c>
      <c r="J109" s="17">
        <f t="shared" si="56"/>
        <v>42.1</v>
      </c>
      <c r="K109" s="17">
        <f t="shared" si="56"/>
        <v>43.27</v>
      </c>
      <c r="L109" s="17">
        <f t="shared" si="56"/>
        <v>44.44</v>
      </c>
      <c r="M109" s="17">
        <f t="shared" si="56"/>
        <v>45.61</v>
      </c>
    </row>
    <row r="110" spans="1:13" x14ac:dyDescent="0.2">
      <c r="A110" s="18"/>
      <c r="B110" s="19">
        <f>($G$3-53)*2</f>
        <v>38</v>
      </c>
      <c r="C110" s="16" t="s">
        <v>42</v>
      </c>
      <c r="D110" s="17">
        <f t="shared" ref="D110:M110" si="57">D111*$B$10</f>
        <v>1427.2800000000002</v>
      </c>
      <c r="E110" s="17">
        <f t="shared" si="57"/>
        <v>1427.2800000000002</v>
      </c>
      <c r="F110" s="17">
        <f t="shared" si="57"/>
        <v>1427.2800000000002</v>
      </c>
      <c r="G110" s="17">
        <f t="shared" si="57"/>
        <v>1466.42</v>
      </c>
      <c r="H110" s="17">
        <f t="shared" si="57"/>
        <v>1510.8799999999999</v>
      </c>
      <c r="I110" s="17">
        <f t="shared" si="57"/>
        <v>1555.34</v>
      </c>
      <c r="J110" s="17">
        <f t="shared" si="57"/>
        <v>1599.8</v>
      </c>
      <c r="K110" s="17">
        <f t="shared" si="57"/>
        <v>1644.2600000000002</v>
      </c>
      <c r="L110" s="17">
        <f t="shared" si="57"/>
        <v>1688.7199999999998</v>
      </c>
      <c r="M110" s="17">
        <f t="shared" si="57"/>
        <v>1733.18</v>
      </c>
    </row>
    <row r="111" spans="1:13" x14ac:dyDescent="0.2">
      <c r="A111" s="13" t="s">
        <v>161</v>
      </c>
      <c r="B111" s="13"/>
      <c r="C111" s="16" t="s">
        <v>14</v>
      </c>
      <c r="D111" s="17">
        <f t="shared" ref="D111:M111" si="58">IF(ROUND(D109*1.5,2)&lt;$G$122,ROUND(D109*1.5,2),IF($G$122&lt;D109,D109,$G$122))</f>
        <v>37.56</v>
      </c>
      <c r="E111" s="17">
        <f t="shared" si="58"/>
        <v>37.56</v>
      </c>
      <c r="F111" s="17">
        <f t="shared" si="58"/>
        <v>37.56</v>
      </c>
      <c r="G111" s="17">
        <f t="shared" si="58"/>
        <v>38.590000000000003</v>
      </c>
      <c r="H111" s="17">
        <f t="shared" si="58"/>
        <v>39.76</v>
      </c>
      <c r="I111" s="17">
        <f t="shared" si="58"/>
        <v>40.93</v>
      </c>
      <c r="J111" s="17">
        <f t="shared" si="58"/>
        <v>42.1</v>
      </c>
      <c r="K111" s="17">
        <f t="shared" si="58"/>
        <v>43.27</v>
      </c>
      <c r="L111" s="17">
        <f t="shared" si="58"/>
        <v>44.44</v>
      </c>
      <c r="M111" s="17">
        <f t="shared" si="58"/>
        <v>45.61</v>
      </c>
    </row>
    <row r="112" spans="1:13" s="64" customFormat="1" x14ac:dyDescent="0.2">
      <c r="A112" s="63"/>
      <c r="B112" s="63"/>
      <c r="C112" s="32" t="s">
        <v>46</v>
      </c>
      <c r="D112" s="17">
        <f>ROUND(D109*'Start Page'!$F$33,2)*$B$13</f>
        <v>0</v>
      </c>
      <c r="E112" s="17">
        <f>ROUND(E109*'Start Page'!$F$33,2)*$B$13</f>
        <v>0</v>
      </c>
      <c r="F112" s="17">
        <f>ROUND(F109*'Start Page'!$F$33,2)*$B$13</f>
        <v>0</v>
      </c>
      <c r="G112" s="17">
        <f>ROUND(G109*'Start Page'!$F$33,2)*$B$13</f>
        <v>0</v>
      </c>
      <c r="H112" s="17">
        <f>ROUND(H109*'Start Page'!$F$33,2)*$B$13</f>
        <v>0</v>
      </c>
      <c r="I112" s="17">
        <f>ROUND(I109*'Start Page'!$F$33,2)*$B$13</f>
        <v>0</v>
      </c>
      <c r="J112" s="17">
        <f>ROUND(J109*'Start Page'!$F$33,2)*$B$13</f>
        <v>0</v>
      </c>
      <c r="K112" s="17">
        <f>ROUND(K109*'Start Page'!$F$33,2)*$B$13</f>
        <v>0</v>
      </c>
      <c r="L112" s="17">
        <f>ROUND(L109*'Start Page'!$F$33,2)*$B$13</f>
        <v>0</v>
      </c>
      <c r="M112" s="17">
        <f>ROUND(M109*'Start Page'!$F$33,2)*$B$13</f>
        <v>0</v>
      </c>
    </row>
    <row r="113" spans="1:13" x14ac:dyDescent="0.2">
      <c r="A113" s="13"/>
      <c r="B113" s="13">
        <f>B108+B110</f>
        <v>144</v>
      </c>
      <c r="C113" s="20" t="s">
        <v>17</v>
      </c>
      <c r="D113" s="21">
        <f t="shared" ref="D113:M113" si="59">D108+D110+D112</f>
        <v>5145.76</v>
      </c>
      <c r="E113" s="21">
        <f t="shared" si="59"/>
        <v>5269.7800000000007</v>
      </c>
      <c r="F113" s="21">
        <f t="shared" si="59"/>
        <v>5393.8</v>
      </c>
      <c r="G113" s="21">
        <f t="shared" si="59"/>
        <v>5556.9600000000009</v>
      </c>
      <c r="H113" s="21">
        <f t="shared" si="59"/>
        <v>5725.44</v>
      </c>
      <c r="I113" s="21">
        <f t="shared" si="59"/>
        <v>5893.92</v>
      </c>
      <c r="J113" s="21">
        <f t="shared" si="59"/>
        <v>6062.4000000000005</v>
      </c>
      <c r="K113" s="21">
        <f t="shared" si="59"/>
        <v>6230.88</v>
      </c>
      <c r="L113" s="21">
        <f t="shared" si="59"/>
        <v>6399.3599999999988</v>
      </c>
      <c r="M113" s="21">
        <f t="shared" si="59"/>
        <v>6567.84</v>
      </c>
    </row>
    <row r="114" spans="1:13" x14ac:dyDescent="0.2">
      <c r="A114" s="13"/>
      <c r="B114" s="13"/>
      <c r="C114" s="20" t="s">
        <v>33</v>
      </c>
      <c r="D114" s="21">
        <f>D113*'Start Page'!$C$41</f>
        <v>133789.76000000001</v>
      </c>
      <c r="E114" s="21">
        <f>E113*'Start Page'!$C$41</f>
        <v>137014.28000000003</v>
      </c>
      <c r="F114" s="21">
        <f>F113*'Start Page'!$C$41</f>
        <v>140238.80000000002</v>
      </c>
      <c r="G114" s="21">
        <f>G113*'Start Page'!$C$41</f>
        <v>144480.96000000002</v>
      </c>
      <c r="H114" s="21">
        <f>H113*'Start Page'!$C$41</f>
        <v>148861.44</v>
      </c>
      <c r="I114" s="21">
        <f>I113*'Start Page'!$C$41</f>
        <v>153241.92000000001</v>
      </c>
      <c r="J114" s="21">
        <f>J113*'Start Page'!$C$41</f>
        <v>157622.40000000002</v>
      </c>
      <c r="K114" s="21">
        <f>K113*'Start Page'!$C$41</f>
        <v>162002.88</v>
      </c>
      <c r="L114" s="21">
        <f>L113*'Start Page'!$C$41</f>
        <v>166383.35999999996</v>
      </c>
      <c r="M114" s="21">
        <f>M113*'Start Page'!$C$41</f>
        <v>170763.84</v>
      </c>
    </row>
    <row r="115" spans="1:13" s="25" customFormat="1" x14ac:dyDescent="0.2">
      <c r="A115" s="22"/>
      <c r="B115" s="22"/>
      <c r="C115" s="23" t="s">
        <v>105</v>
      </c>
      <c r="D115" s="24">
        <f>D109*$B$13*'Start Page'!$C$41</f>
        <v>131339.51999999999</v>
      </c>
      <c r="E115" s="24">
        <f>E109*$B$13*'Start Page'!$C$41</f>
        <v>135720</v>
      </c>
      <c r="F115" s="24">
        <f>F109*$B$13*'Start Page'!$C$41</f>
        <v>140100.48000000001</v>
      </c>
      <c r="G115" s="24">
        <f>G109*$B$13*'Start Page'!$C$41</f>
        <v>144480.96000000002</v>
      </c>
      <c r="H115" s="24">
        <f>H109*$B$13*'Start Page'!$C$41</f>
        <v>148861.44</v>
      </c>
      <c r="I115" s="24">
        <f>I109*$B$13*'Start Page'!$C$41</f>
        <v>153241.92000000001</v>
      </c>
      <c r="J115" s="24">
        <f>J109*$B$13*'Start Page'!$C$41</f>
        <v>157622.40000000002</v>
      </c>
      <c r="K115" s="24">
        <f>K109*$B$13*'Start Page'!$C$41</f>
        <v>162002.88</v>
      </c>
      <c r="L115" s="24">
        <f>L109*$B$13*'Start Page'!$C$41</f>
        <v>166383.35999999999</v>
      </c>
      <c r="M115" s="123">
        <f>M109*$B$13*'Start Page'!$C$41</f>
        <v>170763.84</v>
      </c>
    </row>
    <row r="116" spans="1:13" x14ac:dyDescent="0.2">
      <c r="A116" s="11" t="s">
        <v>162</v>
      </c>
      <c r="B116" s="28"/>
    </row>
    <row r="117" spans="1:13" x14ac:dyDescent="0.2">
      <c r="A117" s="11" t="s">
        <v>106</v>
      </c>
      <c r="B117" s="28"/>
    </row>
    <row r="118" spans="1:13" x14ac:dyDescent="0.2">
      <c r="A118" s="28"/>
      <c r="B118" s="28"/>
    </row>
    <row r="119" spans="1:13" x14ac:dyDescent="0.2">
      <c r="A119" s="28" t="s">
        <v>107</v>
      </c>
      <c r="B119" s="28"/>
    </row>
    <row r="120" spans="1:13" x14ac:dyDescent="0.2">
      <c r="A120" s="28" t="s">
        <v>108</v>
      </c>
      <c r="B120" s="28"/>
      <c r="G120" s="30"/>
    </row>
    <row r="121" spans="1:13" x14ac:dyDescent="0.2">
      <c r="A121" s="28" t="s">
        <v>19</v>
      </c>
      <c r="B121" s="29"/>
    </row>
    <row r="122" spans="1:13" x14ac:dyDescent="0.2">
      <c r="A122" s="28" t="s">
        <v>32</v>
      </c>
      <c r="B122" s="28"/>
      <c r="G122" s="30">
        <f>ROUND(ROUND(D71/2087,2)*1.5,2)</f>
        <v>37.56</v>
      </c>
      <c r="H122" s="11"/>
    </row>
    <row r="123" spans="1:13" x14ac:dyDescent="0.2">
      <c r="A123" s="29"/>
      <c r="B123" s="29"/>
    </row>
    <row r="124" spans="1:13" x14ac:dyDescent="0.2">
      <c r="A124" s="28" t="s">
        <v>36</v>
      </c>
      <c r="B124" s="28"/>
    </row>
  </sheetData>
  <sheetProtection password="CCE4" sheet="1" objects="1" scenarios="1"/>
  <mergeCells count="2">
    <mergeCell ref="F4:I4"/>
    <mergeCell ref="G5:H5"/>
  </mergeCells>
  <phoneticPr fontId="0" type="noConversion"/>
  <hyperlinks>
    <hyperlink ref="G5:H5" location="'Start Page'!C4"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1" width="7.140625" style="37" customWidth="1"/>
    <col min="2" max="2" width="7.140625" style="31" customWidth="1"/>
    <col min="3" max="3" width="13.5703125" style="31" customWidth="1"/>
    <col min="4" max="13" width="12.7109375" style="31" customWidth="1"/>
    <col min="14" max="16384" width="9.140625" style="31"/>
  </cols>
  <sheetData>
    <row r="1" spans="1:13" s="7" customFormat="1" ht="25.5" customHeight="1" x14ac:dyDescent="0.4">
      <c r="E1" s="8">
        <f>'Start Page'!$C$58</f>
        <v>2012</v>
      </c>
      <c r="F1" s="9" t="s">
        <v>35</v>
      </c>
    </row>
    <row r="2" spans="1:13" s="7" customFormat="1" ht="25.5" customHeight="1" x14ac:dyDescent="0.4">
      <c r="E2" s="8"/>
      <c r="G2" s="85" t="s">
        <v>100</v>
      </c>
      <c r="H2" s="10" t="str">
        <f>'Start Page'!C31</f>
        <v>Rest of the United States</v>
      </c>
    </row>
    <row r="3" spans="1:13" s="7" customFormat="1" ht="25.5" customHeight="1" x14ac:dyDescent="0.4">
      <c r="G3" s="8">
        <f>'Start Page'!C18</f>
        <v>60</v>
      </c>
      <c r="H3" s="9" t="s">
        <v>40</v>
      </c>
    </row>
    <row r="4" spans="1:13" s="7" customFormat="1" ht="12.75" customHeight="1" x14ac:dyDescent="0.2">
      <c r="F4" s="201" t="str">
        <f>IF(E1='GS Pay Calculator'!B2,"","Warning! These pay figures are now estimates only!")</f>
        <v/>
      </c>
      <c r="G4" s="201"/>
      <c r="H4" s="201"/>
      <c r="I4" s="201"/>
    </row>
    <row r="5" spans="1:13" s="7" customFormat="1" ht="12.75" customHeight="1" x14ac:dyDescent="0.2">
      <c r="G5" s="199" t="s">
        <v>135</v>
      </c>
      <c r="H5" s="199"/>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6" t="s">
        <v>30</v>
      </c>
      <c r="D7" s="121">
        <f>'GS Pay Scale'!B9</f>
        <v>24933</v>
      </c>
      <c r="E7" s="121">
        <f>'GS Pay Scale'!C9</f>
        <v>25764</v>
      </c>
      <c r="F7" s="121">
        <f>'GS Pay Scale'!D9</f>
        <v>26595</v>
      </c>
      <c r="G7" s="121">
        <f>'GS Pay Scale'!E9</f>
        <v>27426</v>
      </c>
      <c r="H7" s="121">
        <f>'GS Pay Scale'!F9</f>
        <v>28257</v>
      </c>
      <c r="I7" s="121">
        <f>'GS Pay Scale'!G9</f>
        <v>29088</v>
      </c>
      <c r="J7" s="121">
        <f>'GS Pay Scale'!H9</f>
        <v>29919</v>
      </c>
      <c r="K7" s="121">
        <f>'GS Pay Scale'!I9</f>
        <v>30750</v>
      </c>
      <c r="L7" s="121">
        <f>'GS Pay Scale'!J9</f>
        <v>31581</v>
      </c>
      <c r="M7" s="121">
        <f>'GS Pay Scale'!K9</f>
        <v>32412</v>
      </c>
    </row>
    <row r="8" spans="1:13" x14ac:dyDescent="0.2">
      <c r="A8" s="13"/>
      <c r="B8" s="13">
        <v>80</v>
      </c>
      <c r="C8" s="32" t="s">
        <v>44</v>
      </c>
      <c r="D8" s="121">
        <f>D9*80</f>
        <v>956</v>
      </c>
      <c r="E8" s="121">
        <f t="shared" ref="E8:M8" si="0">E9*80</f>
        <v>987.2</v>
      </c>
      <c r="F8" s="121">
        <f t="shared" si="0"/>
        <v>1019.2</v>
      </c>
      <c r="G8" s="121">
        <f t="shared" si="0"/>
        <v>1051.2</v>
      </c>
      <c r="H8" s="121">
        <f t="shared" si="0"/>
        <v>1083.1999999999998</v>
      </c>
      <c r="I8" s="121">
        <f t="shared" si="0"/>
        <v>1115.2</v>
      </c>
      <c r="J8" s="121">
        <f t="shared" si="0"/>
        <v>1147.2</v>
      </c>
      <c r="K8" s="121">
        <f t="shared" si="0"/>
        <v>1178.4000000000001</v>
      </c>
      <c r="L8" s="121">
        <f t="shared" si="0"/>
        <v>1210.4000000000001</v>
      </c>
      <c r="M8" s="121">
        <f t="shared" si="0"/>
        <v>1242.3999999999999</v>
      </c>
    </row>
    <row r="9" spans="1:13" x14ac:dyDescent="0.2">
      <c r="A9" s="13"/>
      <c r="B9" s="13"/>
      <c r="C9" s="32" t="s">
        <v>20</v>
      </c>
      <c r="D9" s="33">
        <f>ROUND(D7/2087,2)</f>
        <v>11.95</v>
      </c>
      <c r="E9" s="33">
        <f t="shared" ref="E9:M9" si="1">ROUND(E7/2087,2)</f>
        <v>12.34</v>
      </c>
      <c r="F9" s="33">
        <f t="shared" si="1"/>
        <v>12.74</v>
      </c>
      <c r="G9" s="33">
        <f t="shared" si="1"/>
        <v>13.14</v>
      </c>
      <c r="H9" s="33">
        <f t="shared" si="1"/>
        <v>13.54</v>
      </c>
      <c r="I9" s="33">
        <f t="shared" si="1"/>
        <v>13.94</v>
      </c>
      <c r="J9" s="33">
        <f t="shared" si="1"/>
        <v>14.34</v>
      </c>
      <c r="K9" s="33">
        <f t="shared" si="1"/>
        <v>14.73</v>
      </c>
      <c r="L9" s="33">
        <f t="shared" si="1"/>
        <v>15.13</v>
      </c>
      <c r="M9" s="33">
        <f t="shared" si="1"/>
        <v>15.53</v>
      </c>
    </row>
    <row r="10" spans="1:13" x14ac:dyDescent="0.2">
      <c r="A10" s="13"/>
      <c r="B10" s="13">
        <v>26</v>
      </c>
      <c r="C10" s="16" t="s">
        <v>41</v>
      </c>
      <c r="D10" s="33">
        <f>D11*26</f>
        <v>235.3</v>
      </c>
      <c r="E10" s="33">
        <f t="shared" ref="E10:M10" si="2">E11*26</f>
        <v>243.1</v>
      </c>
      <c r="F10" s="33">
        <f t="shared" si="2"/>
        <v>250.9</v>
      </c>
      <c r="G10" s="33">
        <f t="shared" si="2"/>
        <v>258.7</v>
      </c>
      <c r="H10" s="33">
        <f t="shared" si="2"/>
        <v>266.5</v>
      </c>
      <c r="I10" s="33">
        <f t="shared" si="2"/>
        <v>274.3</v>
      </c>
      <c r="J10" s="33">
        <f t="shared" si="2"/>
        <v>282.36</v>
      </c>
      <c r="K10" s="33">
        <f t="shared" si="2"/>
        <v>290.16000000000003</v>
      </c>
      <c r="L10" s="33">
        <f t="shared" si="2"/>
        <v>297.96000000000004</v>
      </c>
      <c r="M10" s="33">
        <f t="shared" si="2"/>
        <v>305.76</v>
      </c>
    </row>
    <row r="11" spans="1:13" x14ac:dyDescent="0.2">
      <c r="A11" s="13"/>
      <c r="B11" s="13"/>
      <c r="C11" s="16" t="s">
        <v>13</v>
      </c>
      <c r="D11" s="33">
        <f>ROUND(D7/2756,2)</f>
        <v>9.0500000000000007</v>
      </c>
      <c r="E11" s="33">
        <f t="shared" ref="E11:M11" si="3">ROUND(E7/2756,2)</f>
        <v>9.35</v>
      </c>
      <c r="F11" s="33">
        <f t="shared" si="3"/>
        <v>9.65</v>
      </c>
      <c r="G11" s="33">
        <f t="shared" si="3"/>
        <v>9.9499999999999993</v>
      </c>
      <c r="H11" s="33">
        <f t="shared" si="3"/>
        <v>10.25</v>
      </c>
      <c r="I11" s="33">
        <f t="shared" si="3"/>
        <v>10.55</v>
      </c>
      <c r="J11" s="33">
        <f t="shared" si="3"/>
        <v>10.86</v>
      </c>
      <c r="K11" s="33">
        <f t="shared" si="3"/>
        <v>11.16</v>
      </c>
      <c r="L11" s="33">
        <f t="shared" si="3"/>
        <v>11.46</v>
      </c>
      <c r="M11" s="33">
        <f t="shared" si="3"/>
        <v>11.76</v>
      </c>
    </row>
    <row r="12" spans="1:13" x14ac:dyDescent="0.2">
      <c r="A12" s="13" t="s">
        <v>22</v>
      </c>
      <c r="B12" s="19">
        <f>($G$3-53)*2</f>
        <v>14</v>
      </c>
      <c r="C12" s="16" t="s">
        <v>42</v>
      </c>
      <c r="D12" s="33">
        <f>D13*$B$12</f>
        <v>190.12</v>
      </c>
      <c r="E12" s="33">
        <f t="shared" ref="E12:M12" si="4">E13*$B$12</f>
        <v>196.42</v>
      </c>
      <c r="F12" s="33">
        <f t="shared" si="4"/>
        <v>202.72</v>
      </c>
      <c r="G12" s="33">
        <f t="shared" si="4"/>
        <v>209.01999999999998</v>
      </c>
      <c r="H12" s="33">
        <f t="shared" si="4"/>
        <v>215.32000000000002</v>
      </c>
      <c r="I12" s="33">
        <f t="shared" si="4"/>
        <v>221.62</v>
      </c>
      <c r="J12" s="33">
        <f t="shared" si="4"/>
        <v>228.06</v>
      </c>
      <c r="K12" s="33">
        <f t="shared" si="4"/>
        <v>234.35999999999999</v>
      </c>
      <c r="L12" s="33">
        <f t="shared" si="4"/>
        <v>240.66000000000003</v>
      </c>
      <c r="M12" s="33">
        <f t="shared" si="4"/>
        <v>246.96</v>
      </c>
    </row>
    <row r="13" spans="1:13" x14ac:dyDescent="0.2">
      <c r="A13" s="13"/>
      <c r="B13" s="13"/>
      <c r="C13" s="16" t="s">
        <v>14</v>
      </c>
      <c r="D13" s="17">
        <f>IF(ROUND(D11*1.5,2)&lt;$G$149,ROUND(D11*1.5,2),IF($G$149&lt;D11,D11,$G$149))</f>
        <v>13.58</v>
      </c>
      <c r="E13" s="17">
        <f t="shared" ref="E13:M13" si="5">IF(ROUND(E11*1.5,2)&lt;$G$149,ROUND(E11*1.5,2),IF($G$149&lt;E11,E11,$G$149))</f>
        <v>14.03</v>
      </c>
      <c r="F13" s="17">
        <f t="shared" si="5"/>
        <v>14.48</v>
      </c>
      <c r="G13" s="17">
        <f t="shared" si="5"/>
        <v>14.93</v>
      </c>
      <c r="H13" s="17">
        <f t="shared" si="5"/>
        <v>15.38</v>
      </c>
      <c r="I13" s="17">
        <f t="shared" si="5"/>
        <v>15.83</v>
      </c>
      <c r="J13" s="17">
        <f t="shared" si="5"/>
        <v>16.29</v>
      </c>
      <c r="K13" s="17">
        <f t="shared" si="5"/>
        <v>16.739999999999998</v>
      </c>
      <c r="L13" s="17">
        <f t="shared" si="5"/>
        <v>17.190000000000001</v>
      </c>
      <c r="M13" s="17">
        <f t="shared" si="5"/>
        <v>17.64</v>
      </c>
    </row>
    <row r="14" spans="1:13" s="64" customFormat="1" x14ac:dyDescent="0.2">
      <c r="A14" s="63"/>
      <c r="B14" s="63"/>
      <c r="C14" s="32" t="s">
        <v>46</v>
      </c>
      <c r="D14" s="17">
        <f>(ROUND(D9*'Start Page'!$F$33,2)*80)+(ROUND(D11*'Start Page'!$F$33,2)*($B$15-80))</f>
        <v>0</v>
      </c>
      <c r="E14" s="17">
        <f>(ROUND(E9*'Start Page'!$F$33,2)*80)+(ROUND(E11*'Start Page'!$F$33,2)*($B$15-80))</f>
        <v>0</v>
      </c>
      <c r="F14" s="17">
        <f>(ROUND(F9*'Start Page'!$F$33,2)*80)+(ROUND(F11*'Start Page'!$F$33,2)*($B$15-80))</f>
        <v>0</v>
      </c>
      <c r="G14" s="17">
        <f>(ROUND(G9*'Start Page'!$F$33,2)*80)+(ROUND(G11*'Start Page'!$F$33,2)*($B$15-80))</f>
        <v>0</v>
      </c>
      <c r="H14" s="17">
        <f>(ROUND(H9*'Start Page'!$F$33,2)*80)+(ROUND(H11*'Start Page'!$F$33,2)*($B$15-80))</f>
        <v>0</v>
      </c>
      <c r="I14" s="17">
        <f>(ROUND(I9*'Start Page'!$F$33,2)*80)+(ROUND(I11*'Start Page'!$F$33,2)*($B$15-80))</f>
        <v>0</v>
      </c>
      <c r="J14" s="17">
        <f>(ROUND(J9*'Start Page'!$F$33,2)*80)+(ROUND(J11*'Start Page'!$F$33,2)*($B$15-80))</f>
        <v>0</v>
      </c>
      <c r="K14" s="17">
        <f>(ROUND(K9*'Start Page'!$F$33,2)*80)+(ROUND(K11*'Start Page'!$F$33,2)*($B$15-80))</f>
        <v>0</v>
      </c>
      <c r="L14" s="17">
        <f>(ROUND(L9*'Start Page'!$F$33,2)*80)+(ROUND(L11*'Start Page'!$F$33,2)*($B$15-80))</f>
        <v>0</v>
      </c>
      <c r="M14" s="17">
        <f>(ROUND(M9*'Start Page'!$F$33,2)*80)+(ROUND(M11*'Start Page'!$F$33,2)*($B$15-80))</f>
        <v>0</v>
      </c>
    </row>
    <row r="15" spans="1:13" x14ac:dyDescent="0.2">
      <c r="A15" s="13"/>
      <c r="B15" s="13">
        <f>B8+B10+B12</f>
        <v>120</v>
      </c>
      <c r="C15" s="20" t="s">
        <v>17</v>
      </c>
      <c r="D15" s="34">
        <f>D8+D10+D12+D14</f>
        <v>1381.42</v>
      </c>
      <c r="E15" s="34">
        <f t="shared" ref="E15:M15" si="6">E8+E10+E12+E14</f>
        <v>1426.72</v>
      </c>
      <c r="F15" s="34">
        <f t="shared" si="6"/>
        <v>1472.8200000000002</v>
      </c>
      <c r="G15" s="34">
        <f t="shared" si="6"/>
        <v>1518.92</v>
      </c>
      <c r="H15" s="34">
        <f t="shared" si="6"/>
        <v>1565.0199999999998</v>
      </c>
      <c r="I15" s="34">
        <f t="shared" si="6"/>
        <v>1611.12</v>
      </c>
      <c r="J15" s="34">
        <f t="shared" si="6"/>
        <v>1657.62</v>
      </c>
      <c r="K15" s="34">
        <f t="shared" si="6"/>
        <v>1702.92</v>
      </c>
      <c r="L15" s="34">
        <f t="shared" si="6"/>
        <v>1749.0200000000002</v>
      </c>
      <c r="M15" s="34">
        <f t="shared" si="6"/>
        <v>1795.12</v>
      </c>
    </row>
    <row r="16" spans="1:13" x14ac:dyDescent="0.2">
      <c r="A16" s="13"/>
      <c r="B16" s="13"/>
      <c r="C16" s="20" t="s">
        <v>33</v>
      </c>
      <c r="D16" s="34">
        <f>D15*'Start Page'!$C$41</f>
        <v>35916.92</v>
      </c>
      <c r="E16" s="34">
        <f>E15*'Start Page'!$C$41</f>
        <v>37094.720000000001</v>
      </c>
      <c r="F16" s="34">
        <f>F15*'Start Page'!$C$41</f>
        <v>38293.320000000007</v>
      </c>
      <c r="G16" s="34">
        <f>G15*'Start Page'!$C$41</f>
        <v>39491.919999999998</v>
      </c>
      <c r="H16" s="34">
        <f>H15*'Start Page'!$C$41</f>
        <v>40690.519999999997</v>
      </c>
      <c r="I16" s="34">
        <f>I15*'Start Page'!$C$41</f>
        <v>41889.119999999995</v>
      </c>
      <c r="J16" s="34">
        <f>J15*'Start Page'!$C$41</f>
        <v>43098.119999999995</v>
      </c>
      <c r="K16" s="34">
        <f>K15*'Start Page'!$C$41</f>
        <v>44275.92</v>
      </c>
      <c r="L16" s="34">
        <f>L15*'Start Page'!$C$41</f>
        <v>45474.520000000004</v>
      </c>
      <c r="M16" s="34">
        <f>M15*'Start Page'!$C$41</f>
        <v>46673.119999999995</v>
      </c>
    </row>
    <row r="17" spans="1:13" s="36" customFormat="1" x14ac:dyDescent="0.2">
      <c r="A17" s="22"/>
      <c r="B17" s="22"/>
      <c r="C17" s="23" t="s">
        <v>105</v>
      </c>
      <c r="D17" s="35">
        <f>((D9*80)+(D11*($B$15-80)))*'Start Page'!$C$41</f>
        <v>34268</v>
      </c>
      <c r="E17" s="35">
        <f>((E9*80)+(E11*($B$15-80)))*'Start Page'!$C$41</f>
        <v>35391.200000000004</v>
      </c>
      <c r="F17" s="35">
        <f>((F9*80)+(F11*($B$15-80)))*'Start Page'!$C$41</f>
        <v>36535.200000000004</v>
      </c>
      <c r="G17" s="35">
        <f>((G9*80)+(G11*($B$15-80)))*'Start Page'!$C$41</f>
        <v>37679.200000000004</v>
      </c>
      <c r="H17" s="35">
        <f>((H9*80)+(H11*($B$15-80)))*'Start Page'!$C$41</f>
        <v>38823.199999999997</v>
      </c>
      <c r="I17" s="35">
        <f>((I9*80)+(I11*($B$15-80)))*'Start Page'!$C$41</f>
        <v>39967.200000000004</v>
      </c>
      <c r="J17" s="35">
        <f>((J9*80)+(J11*($B$15-80)))*'Start Page'!$C$41</f>
        <v>41121.599999999999</v>
      </c>
      <c r="K17" s="35">
        <f>((K9*80)+(K11*($B$15-80)))*'Start Page'!$C$41</f>
        <v>42244.800000000003</v>
      </c>
      <c r="L17" s="35">
        <f>((L9*80)+(L11*($B$15-80)))*'Start Page'!$C$41</f>
        <v>43388.800000000003</v>
      </c>
      <c r="M17" s="124">
        <f>((M9*80)+(M11*($B$15-80)))*'Start Page'!$C$41</f>
        <v>44532.799999999996</v>
      </c>
    </row>
    <row r="18" spans="1:13" x14ac:dyDescent="0.2">
      <c r="A18" s="13"/>
      <c r="B18" s="26"/>
      <c r="C18" s="14" t="s">
        <v>30</v>
      </c>
      <c r="D18" s="120">
        <f>'GS Pay Scale'!B10</f>
        <v>27990</v>
      </c>
      <c r="E18" s="120">
        <f>'GS Pay Scale'!C10</f>
        <v>28922</v>
      </c>
      <c r="F18" s="120">
        <f>'GS Pay Scale'!D10</f>
        <v>29855</v>
      </c>
      <c r="G18" s="120">
        <f>'GS Pay Scale'!E10</f>
        <v>30788</v>
      </c>
      <c r="H18" s="120">
        <f>'GS Pay Scale'!F10</f>
        <v>31720</v>
      </c>
      <c r="I18" s="120">
        <f>'GS Pay Scale'!G10</f>
        <v>32653</v>
      </c>
      <c r="J18" s="120">
        <f>'GS Pay Scale'!H10</f>
        <v>33586</v>
      </c>
      <c r="K18" s="120">
        <f>'GS Pay Scale'!I10</f>
        <v>34519</v>
      </c>
      <c r="L18" s="120">
        <f>'GS Pay Scale'!J10</f>
        <v>35451</v>
      </c>
      <c r="M18" s="120">
        <f>'GS Pay Scale'!K10</f>
        <v>36384</v>
      </c>
    </row>
    <row r="19" spans="1:13" x14ac:dyDescent="0.2">
      <c r="A19" s="13"/>
      <c r="B19" s="13">
        <v>80</v>
      </c>
      <c r="C19" s="32" t="s">
        <v>44</v>
      </c>
      <c r="D19" s="121">
        <f t="shared" ref="D19:M19" si="7">D20*80</f>
        <v>1072.8</v>
      </c>
      <c r="E19" s="121">
        <f t="shared" si="7"/>
        <v>1108.8</v>
      </c>
      <c r="F19" s="121">
        <f t="shared" si="7"/>
        <v>1144.8</v>
      </c>
      <c r="G19" s="121">
        <f t="shared" si="7"/>
        <v>1180</v>
      </c>
      <c r="H19" s="121">
        <f t="shared" si="7"/>
        <v>1216</v>
      </c>
      <c r="I19" s="121">
        <f t="shared" si="7"/>
        <v>1252</v>
      </c>
      <c r="J19" s="121">
        <f t="shared" si="7"/>
        <v>1287.2</v>
      </c>
      <c r="K19" s="121">
        <f t="shared" si="7"/>
        <v>1323.1999999999998</v>
      </c>
      <c r="L19" s="121">
        <f t="shared" si="7"/>
        <v>1359.1999999999998</v>
      </c>
      <c r="M19" s="121">
        <f t="shared" si="7"/>
        <v>1394.4</v>
      </c>
    </row>
    <row r="20" spans="1:13" x14ac:dyDescent="0.2">
      <c r="A20" s="13"/>
      <c r="B20" s="13"/>
      <c r="C20" s="32" t="s">
        <v>20</v>
      </c>
      <c r="D20" s="33">
        <f t="shared" ref="D20:M20" si="8">ROUND(D18/2087,2)</f>
        <v>13.41</v>
      </c>
      <c r="E20" s="33">
        <f t="shared" si="8"/>
        <v>13.86</v>
      </c>
      <c r="F20" s="33">
        <f t="shared" si="8"/>
        <v>14.31</v>
      </c>
      <c r="G20" s="33">
        <f t="shared" si="8"/>
        <v>14.75</v>
      </c>
      <c r="H20" s="33">
        <f t="shared" si="8"/>
        <v>15.2</v>
      </c>
      <c r="I20" s="33">
        <f t="shared" si="8"/>
        <v>15.65</v>
      </c>
      <c r="J20" s="33">
        <f t="shared" si="8"/>
        <v>16.09</v>
      </c>
      <c r="K20" s="33">
        <f t="shared" si="8"/>
        <v>16.54</v>
      </c>
      <c r="L20" s="33">
        <f t="shared" si="8"/>
        <v>16.989999999999998</v>
      </c>
      <c r="M20" s="33">
        <f t="shared" si="8"/>
        <v>17.43</v>
      </c>
    </row>
    <row r="21" spans="1:13" x14ac:dyDescent="0.2">
      <c r="A21" s="13"/>
      <c r="B21" s="13">
        <v>26</v>
      </c>
      <c r="C21" s="16" t="s">
        <v>41</v>
      </c>
      <c r="D21" s="33">
        <f t="shared" ref="D21:M21" si="9">D22*26</f>
        <v>264.16000000000003</v>
      </c>
      <c r="E21" s="33">
        <f t="shared" si="9"/>
        <v>272.74</v>
      </c>
      <c r="F21" s="33">
        <f t="shared" si="9"/>
        <v>281.58</v>
      </c>
      <c r="G21" s="33">
        <f t="shared" si="9"/>
        <v>290.42</v>
      </c>
      <c r="H21" s="33">
        <f t="shared" si="9"/>
        <v>299.26</v>
      </c>
      <c r="I21" s="33">
        <f t="shared" si="9"/>
        <v>308.09999999999997</v>
      </c>
      <c r="J21" s="33">
        <f t="shared" si="9"/>
        <v>316.94</v>
      </c>
      <c r="K21" s="33">
        <f t="shared" si="9"/>
        <v>325.77999999999997</v>
      </c>
      <c r="L21" s="33">
        <f t="shared" si="9"/>
        <v>334.36</v>
      </c>
      <c r="M21" s="33">
        <f t="shared" si="9"/>
        <v>343.2</v>
      </c>
    </row>
    <row r="22" spans="1:13" x14ac:dyDescent="0.2">
      <c r="A22" s="13"/>
      <c r="B22" s="13"/>
      <c r="C22" s="16" t="s">
        <v>13</v>
      </c>
      <c r="D22" s="33">
        <f t="shared" ref="D22:M22" si="10">ROUND(D18/2756,2)</f>
        <v>10.16</v>
      </c>
      <c r="E22" s="33">
        <f t="shared" si="10"/>
        <v>10.49</v>
      </c>
      <c r="F22" s="33">
        <f t="shared" si="10"/>
        <v>10.83</v>
      </c>
      <c r="G22" s="33">
        <f t="shared" si="10"/>
        <v>11.17</v>
      </c>
      <c r="H22" s="33">
        <f t="shared" si="10"/>
        <v>11.51</v>
      </c>
      <c r="I22" s="33">
        <f t="shared" si="10"/>
        <v>11.85</v>
      </c>
      <c r="J22" s="33">
        <f t="shared" si="10"/>
        <v>12.19</v>
      </c>
      <c r="K22" s="33">
        <f t="shared" si="10"/>
        <v>12.53</v>
      </c>
      <c r="L22" s="33">
        <f t="shared" si="10"/>
        <v>12.86</v>
      </c>
      <c r="M22" s="33">
        <f t="shared" si="10"/>
        <v>13.2</v>
      </c>
    </row>
    <row r="23" spans="1:13" x14ac:dyDescent="0.2">
      <c r="A23" s="13" t="s">
        <v>23</v>
      </c>
      <c r="B23" s="19">
        <f>($G$3-53)*2</f>
        <v>14</v>
      </c>
      <c r="C23" s="16" t="s">
        <v>42</v>
      </c>
      <c r="D23" s="33">
        <f t="shared" ref="D23:M23" si="11">D24*$B$12</f>
        <v>213.36</v>
      </c>
      <c r="E23" s="33">
        <f t="shared" si="11"/>
        <v>220.36</v>
      </c>
      <c r="F23" s="33">
        <f t="shared" si="11"/>
        <v>227.5</v>
      </c>
      <c r="G23" s="33">
        <f t="shared" si="11"/>
        <v>234.64000000000001</v>
      </c>
      <c r="H23" s="33">
        <f t="shared" si="11"/>
        <v>241.78</v>
      </c>
      <c r="I23" s="33">
        <f t="shared" si="11"/>
        <v>248.92000000000002</v>
      </c>
      <c r="J23" s="33">
        <f t="shared" si="11"/>
        <v>256.06</v>
      </c>
      <c r="K23" s="33">
        <f t="shared" si="11"/>
        <v>263.2</v>
      </c>
      <c r="L23" s="33">
        <f t="shared" si="11"/>
        <v>270.06</v>
      </c>
      <c r="M23" s="33">
        <f t="shared" si="11"/>
        <v>277.2</v>
      </c>
    </row>
    <row r="24" spans="1:13" x14ac:dyDescent="0.2">
      <c r="A24" s="13"/>
      <c r="B24" s="13"/>
      <c r="C24" s="16" t="s">
        <v>14</v>
      </c>
      <c r="D24" s="17">
        <f t="shared" ref="D24:M24" si="12">IF(ROUND(D22*1.5,2)&lt;$G$149,ROUND(D22*1.5,2),IF($G$149&lt;D22,D22,$G$149))</f>
        <v>15.24</v>
      </c>
      <c r="E24" s="17">
        <f t="shared" si="12"/>
        <v>15.74</v>
      </c>
      <c r="F24" s="17">
        <f t="shared" si="12"/>
        <v>16.25</v>
      </c>
      <c r="G24" s="17">
        <f t="shared" si="12"/>
        <v>16.760000000000002</v>
      </c>
      <c r="H24" s="17">
        <f t="shared" si="12"/>
        <v>17.27</v>
      </c>
      <c r="I24" s="17">
        <f t="shared" si="12"/>
        <v>17.78</v>
      </c>
      <c r="J24" s="17">
        <f t="shared" si="12"/>
        <v>18.29</v>
      </c>
      <c r="K24" s="17">
        <f t="shared" si="12"/>
        <v>18.8</v>
      </c>
      <c r="L24" s="17">
        <f t="shared" si="12"/>
        <v>19.29</v>
      </c>
      <c r="M24" s="17">
        <f t="shared" si="12"/>
        <v>19.8</v>
      </c>
    </row>
    <row r="25" spans="1:13" s="64" customFormat="1" x14ac:dyDescent="0.2">
      <c r="A25" s="63"/>
      <c r="B25" s="63"/>
      <c r="C25" s="32" t="s">
        <v>46</v>
      </c>
      <c r="D25" s="17">
        <f>(ROUND(D20*'Start Page'!$F$33,2)*80)+(ROUND(D22*'Start Page'!$F$33,2)*($B$15-80))</f>
        <v>0</v>
      </c>
      <c r="E25" s="17">
        <f>(ROUND(E20*'Start Page'!$F$33,2)*80)+(ROUND(E22*'Start Page'!$F$33,2)*($B$15-80))</f>
        <v>0</v>
      </c>
      <c r="F25" s="17">
        <f>(ROUND(F20*'Start Page'!$F$33,2)*80)+(ROUND(F22*'Start Page'!$F$33,2)*($B$15-80))</f>
        <v>0</v>
      </c>
      <c r="G25" s="17">
        <f>(ROUND(G20*'Start Page'!$F$33,2)*80)+(ROUND(G22*'Start Page'!$F$33,2)*($B$15-80))</f>
        <v>0</v>
      </c>
      <c r="H25" s="17">
        <f>(ROUND(H20*'Start Page'!$F$33,2)*80)+(ROUND(H22*'Start Page'!$F$33,2)*($B$15-80))</f>
        <v>0</v>
      </c>
      <c r="I25" s="17">
        <f>(ROUND(I20*'Start Page'!$F$33,2)*80)+(ROUND(I22*'Start Page'!$F$33,2)*($B$15-80))</f>
        <v>0</v>
      </c>
      <c r="J25" s="17">
        <f>(ROUND(J20*'Start Page'!$F$33,2)*80)+(ROUND(J22*'Start Page'!$F$33,2)*($B$15-80))</f>
        <v>0</v>
      </c>
      <c r="K25" s="17">
        <f>(ROUND(K20*'Start Page'!$F$33,2)*80)+(ROUND(K22*'Start Page'!$F$33,2)*($B$15-80))</f>
        <v>0</v>
      </c>
      <c r="L25" s="17">
        <f>(ROUND(L20*'Start Page'!$F$33,2)*80)+(ROUND(L22*'Start Page'!$F$33,2)*($B$15-80))</f>
        <v>0</v>
      </c>
      <c r="M25" s="17">
        <f>(ROUND(M20*'Start Page'!$F$33,2)*80)+(ROUND(M22*'Start Page'!$F$33,2)*($B$15-80))</f>
        <v>0</v>
      </c>
    </row>
    <row r="26" spans="1:13" x14ac:dyDescent="0.2">
      <c r="A26" s="13"/>
      <c r="B26" s="13">
        <f>B19+B21+B23</f>
        <v>120</v>
      </c>
      <c r="C26" s="20" t="s">
        <v>17</v>
      </c>
      <c r="D26" s="34">
        <f t="shared" ref="D26:M26" si="13">D19+D21+D23+D25</f>
        <v>1550.3200000000002</v>
      </c>
      <c r="E26" s="34">
        <f t="shared" si="13"/>
        <v>1601.9</v>
      </c>
      <c r="F26" s="34">
        <f t="shared" si="13"/>
        <v>1653.8799999999999</v>
      </c>
      <c r="G26" s="34">
        <f t="shared" si="13"/>
        <v>1705.0600000000002</v>
      </c>
      <c r="H26" s="34">
        <f t="shared" si="13"/>
        <v>1757.04</v>
      </c>
      <c r="I26" s="34">
        <f t="shared" si="13"/>
        <v>1809.02</v>
      </c>
      <c r="J26" s="34">
        <f t="shared" si="13"/>
        <v>1860.2</v>
      </c>
      <c r="K26" s="34">
        <f t="shared" si="13"/>
        <v>1912.1799999999998</v>
      </c>
      <c r="L26" s="34">
        <f t="shared" si="13"/>
        <v>1963.62</v>
      </c>
      <c r="M26" s="34">
        <f t="shared" si="13"/>
        <v>2014.8000000000002</v>
      </c>
    </row>
    <row r="27" spans="1:13" x14ac:dyDescent="0.2">
      <c r="A27" s="13"/>
      <c r="B27" s="13"/>
      <c r="C27" s="20" t="s">
        <v>33</v>
      </c>
      <c r="D27" s="34">
        <f>D26*'Start Page'!$C$41</f>
        <v>40308.320000000007</v>
      </c>
      <c r="E27" s="34">
        <f>E26*'Start Page'!$C$41</f>
        <v>41649.4</v>
      </c>
      <c r="F27" s="34">
        <f>F26*'Start Page'!$C$41</f>
        <v>43000.88</v>
      </c>
      <c r="G27" s="34">
        <f>G26*'Start Page'!$C$41</f>
        <v>44331.560000000005</v>
      </c>
      <c r="H27" s="34">
        <f>H26*'Start Page'!$C$41</f>
        <v>45683.040000000001</v>
      </c>
      <c r="I27" s="34">
        <f>I26*'Start Page'!$C$41</f>
        <v>47034.52</v>
      </c>
      <c r="J27" s="34">
        <f>J26*'Start Page'!$C$41</f>
        <v>48365.200000000004</v>
      </c>
      <c r="K27" s="34">
        <f>K26*'Start Page'!$C$41</f>
        <v>49716.679999999993</v>
      </c>
      <c r="L27" s="34">
        <f>L26*'Start Page'!$C$41</f>
        <v>51054.119999999995</v>
      </c>
      <c r="M27" s="34">
        <f>M26*'Start Page'!$C$41</f>
        <v>52384.800000000003</v>
      </c>
    </row>
    <row r="28" spans="1:13" s="36" customFormat="1" x14ac:dyDescent="0.2">
      <c r="A28" s="22"/>
      <c r="B28" s="22"/>
      <c r="C28" s="23" t="s">
        <v>105</v>
      </c>
      <c r="D28" s="35">
        <f>((D20*80)+(D22*($B$15-80)))*'Start Page'!$C$41</f>
        <v>38459.199999999997</v>
      </c>
      <c r="E28" s="35">
        <f>((E20*80)+(E22*($B$15-80)))*'Start Page'!$C$41</f>
        <v>39738.400000000001</v>
      </c>
      <c r="F28" s="35">
        <f>((F20*80)+(F22*($B$15-80)))*'Start Page'!$C$41</f>
        <v>41028</v>
      </c>
      <c r="G28" s="35">
        <f>((G20*80)+(G22*($B$15-80)))*'Start Page'!$C$41</f>
        <v>42296.799999999996</v>
      </c>
      <c r="H28" s="35">
        <f>((H20*80)+(H22*($B$15-80)))*'Start Page'!$C$41</f>
        <v>43586.400000000001</v>
      </c>
      <c r="I28" s="35">
        <f>((I20*80)+(I22*($B$15-80)))*'Start Page'!$C$41</f>
        <v>44876</v>
      </c>
      <c r="J28" s="35">
        <f>((J20*80)+(J22*($B$15-80)))*'Start Page'!$C$41</f>
        <v>46144.799999999996</v>
      </c>
      <c r="K28" s="35">
        <f>((K20*80)+(K22*($B$15-80)))*'Start Page'!$C$41</f>
        <v>47434.399999999994</v>
      </c>
      <c r="L28" s="35">
        <f>((L20*80)+(L22*($B$15-80)))*'Start Page'!$C$41</f>
        <v>48713.599999999999</v>
      </c>
      <c r="M28" s="124">
        <f>((M20*80)+(M22*($B$15-80)))*'Start Page'!$C$41</f>
        <v>49982.400000000001</v>
      </c>
    </row>
    <row r="29" spans="1:13" x14ac:dyDescent="0.2">
      <c r="A29" s="13"/>
      <c r="B29" s="26"/>
      <c r="C29" s="14" t="s">
        <v>30</v>
      </c>
      <c r="D29" s="120">
        <f>'GS Pay Scale'!B11</f>
        <v>31315</v>
      </c>
      <c r="E29" s="120">
        <f>'GS Pay Scale'!C11</f>
        <v>32359</v>
      </c>
      <c r="F29" s="120">
        <f>'GS Pay Scale'!D11</f>
        <v>33402</v>
      </c>
      <c r="G29" s="120">
        <f>'GS Pay Scale'!E11</f>
        <v>34445</v>
      </c>
      <c r="H29" s="120">
        <f>'GS Pay Scale'!F11</f>
        <v>35489</v>
      </c>
      <c r="I29" s="120">
        <f>'GS Pay Scale'!G11</f>
        <v>36532</v>
      </c>
      <c r="J29" s="120">
        <f>'GS Pay Scale'!H11</f>
        <v>37576</v>
      </c>
      <c r="K29" s="120">
        <f>'GS Pay Scale'!I11</f>
        <v>38619</v>
      </c>
      <c r="L29" s="120">
        <f>'GS Pay Scale'!J11</f>
        <v>39663</v>
      </c>
      <c r="M29" s="120">
        <f>'GS Pay Scale'!K11</f>
        <v>40706</v>
      </c>
    </row>
    <row r="30" spans="1:13" x14ac:dyDescent="0.2">
      <c r="A30" s="13"/>
      <c r="B30" s="13">
        <v>80</v>
      </c>
      <c r="C30" s="32" t="s">
        <v>44</v>
      </c>
      <c r="D30" s="121">
        <f t="shared" ref="D30:M30" si="14">D31*80</f>
        <v>1200</v>
      </c>
      <c r="E30" s="121">
        <f t="shared" si="14"/>
        <v>1240.8</v>
      </c>
      <c r="F30" s="121">
        <f t="shared" si="14"/>
        <v>1280</v>
      </c>
      <c r="G30" s="121">
        <f t="shared" si="14"/>
        <v>1320</v>
      </c>
      <c r="H30" s="121">
        <f t="shared" si="14"/>
        <v>1360</v>
      </c>
      <c r="I30" s="121">
        <f t="shared" si="14"/>
        <v>1400</v>
      </c>
      <c r="J30" s="121">
        <f t="shared" si="14"/>
        <v>1440</v>
      </c>
      <c r="K30" s="121">
        <f t="shared" si="14"/>
        <v>1480</v>
      </c>
      <c r="L30" s="121">
        <f t="shared" si="14"/>
        <v>1520</v>
      </c>
      <c r="M30" s="121">
        <f t="shared" si="14"/>
        <v>1560</v>
      </c>
    </row>
    <row r="31" spans="1:13" x14ac:dyDescent="0.2">
      <c r="A31" s="13"/>
      <c r="B31" s="13"/>
      <c r="C31" s="32" t="s">
        <v>20</v>
      </c>
      <c r="D31" s="33">
        <f t="shared" ref="D31:M31" si="15">ROUND(D29/2087,2)</f>
        <v>15</v>
      </c>
      <c r="E31" s="33">
        <f t="shared" si="15"/>
        <v>15.51</v>
      </c>
      <c r="F31" s="33">
        <f t="shared" si="15"/>
        <v>16</v>
      </c>
      <c r="G31" s="33">
        <f t="shared" si="15"/>
        <v>16.5</v>
      </c>
      <c r="H31" s="33">
        <f t="shared" si="15"/>
        <v>17</v>
      </c>
      <c r="I31" s="33">
        <f t="shared" si="15"/>
        <v>17.5</v>
      </c>
      <c r="J31" s="33">
        <f t="shared" si="15"/>
        <v>18</v>
      </c>
      <c r="K31" s="33">
        <f t="shared" si="15"/>
        <v>18.5</v>
      </c>
      <c r="L31" s="33">
        <f t="shared" si="15"/>
        <v>19</v>
      </c>
      <c r="M31" s="33">
        <f t="shared" si="15"/>
        <v>19.5</v>
      </c>
    </row>
    <row r="32" spans="1:13" x14ac:dyDescent="0.2">
      <c r="A32" s="13"/>
      <c r="B32" s="13">
        <v>26</v>
      </c>
      <c r="C32" s="16" t="s">
        <v>41</v>
      </c>
      <c r="D32" s="33">
        <f t="shared" ref="D32:M32" si="16">D33*26</f>
        <v>295.36</v>
      </c>
      <c r="E32" s="33">
        <f t="shared" si="16"/>
        <v>305.24</v>
      </c>
      <c r="F32" s="33">
        <f t="shared" si="16"/>
        <v>315.12</v>
      </c>
      <c r="G32" s="33">
        <f t="shared" si="16"/>
        <v>325</v>
      </c>
      <c r="H32" s="33">
        <f t="shared" si="16"/>
        <v>334.88</v>
      </c>
      <c r="I32" s="33">
        <f t="shared" si="16"/>
        <v>344.76</v>
      </c>
      <c r="J32" s="33">
        <f t="shared" si="16"/>
        <v>354.38</v>
      </c>
      <c r="K32" s="33">
        <f t="shared" si="16"/>
        <v>364.26</v>
      </c>
      <c r="L32" s="33">
        <f t="shared" si="16"/>
        <v>374.14</v>
      </c>
      <c r="M32" s="33">
        <f t="shared" si="16"/>
        <v>384.02</v>
      </c>
    </row>
    <row r="33" spans="1:13" x14ac:dyDescent="0.2">
      <c r="A33" s="13"/>
      <c r="B33" s="13"/>
      <c r="C33" s="16" t="s">
        <v>13</v>
      </c>
      <c r="D33" s="33">
        <f t="shared" ref="D33:M33" si="17">ROUND(D29/2756,2)</f>
        <v>11.36</v>
      </c>
      <c r="E33" s="33">
        <f t="shared" si="17"/>
        <v>11.74</v>
      </c>
      <c r="F33" s="33">
        <f t="shared" si="17"/>
        <v>12.12</v>
      </c>
      <c r="G33" s="33">
        <f t="shared" si="17"/>
        <v>12.5</v>
      </c>
      <c r="H33" s="33">
        <f t="shared" si="17"/>
        <v>12.88</v>
      </c>
      <c r="I33" s="33">
        <f t="shared" si="17"/>
        <v>13.26</v>
      </c>
      <c r="J33" s="33">
        <f t="shared" si="17"/>
        <v>13.63</v>
      </c>
      <c r="K33" s="33">
        <f t="shared" si="17"/>
        <v>14.01</v>
      </c>
      <c r="L33" s="33">
        <f t="shared" si="17"/>
        <v>14.39</v>
      </c>
      <c r="M33" s="33">
        <f t="shared" si="17"/>
        <v>14.77</v>
      </c>
    </row>
    <row r="34" spans="1:13" x14ac:dyDescent="0.2">
      <c r="A34" s="13" t="s">
        <v>24</v>
      </c>
      <c r="B34" s="19">
        <f>($G$3-53)*2</f>
        <v>14</v>
      </c>
      <c r="C34" s="16" t="s">
        <v>42</v>
      </c>
      <c r="D34" s="33">
        <f t="shared" ref="D34:M34" si="18">D35*$B$12</f>
        <v>238.56</v>
      </c>
      <c r="E34" s="33">
        <f t="shared" si="18"/>
        <v>246.54</v>
      </c>
      <c r="F34" s="33">
        <f t="shared" si="18"/>
        <v>254.51999999999998</v>
      </c>
      <c r="G34" s="33">
        <f t="shared" si="18"/>
        <v>262.5</v>
      </c>
      <c r="H34" s="33">
        <f t="shared" si="18"/>
        <v>270.48</v>
      </c>
      <c r="I34" s="33">
        <f t="shared" si="18"/>
        <v>278.46000000000004</v>
      </c>
      <c r="J34" s="33">
        <f t="shared" si="18"/>
        <v>286.3</v>
      </c>
      <c r="K34" s="33">
        <f t="shared" si="18"/>
        <v>294.27999999999997</v>
      </c>
      <c r="L34" s="33">
        <f t="shared" si="18"/>
        <v>302.26</v>
      </c>
      <c r="M34" s="33">
        <f t="shared" si="18"/>
        <v>310.24</v>
      </c>
    </row>
    <row r="35" spans="1:13" x14ac:dyDescent="0.2">
      <c r="A35" s="13"/>
      <c r="B35" s="13"/>
      <c r="C35" s="16" t="s">
        <v>14</v>
      </c>
      <c r="D35" s="17">
        <f t="shared" ref="D35:M35" si="19">IF(ROUND(D33*1.5,2)&lt;$G$149,ROUND(D33*1.5,2),IF($G$149&lt;D33,D33,$G$149))</f>
        <v>17.04</v>
      </c>
      <c r="E35" s="17">
        <f t="shared" si="19"/>
        <v>17.61</v>
      </c>
      <c r="F35" s="17">
        <f t="shared" si="19"/>
        <v>18.18</v>
      </c>
      <c r="G35" s="17">
        <f t="shared" si="19"/>
        <v>18.75</v>
      </c>
      <c r="H35" s="17">
        <f t="shared" si="19"/>
        <v>19.32</v>
      </c>
      <c r="I35" s="17">
        <f t="shared" si="19"/>
        <v>19.89</v>
      </c>
      <c r="J35" s="17">
        <f t="shared" si="19"/>
        <v>20.45</v>
      </c>
      <c r="K35" s="17">
        <f t="shared" si="19"/>
        <v>21.02</v>
      </c>
      <c r="L35" s="17">
        <f t="shared" si="19"/>
        <v>21.59</v>
      </c>
      <c r="M35" s="17">
        <f t="shared" si="19"/>
        <v>22.16</v>
      </c>
    </row>
    <row r="36" spans="1:13" s="64" customFormat="1" x14ac:dyDescent="0.2">
      <c r="A36" s="63"/>
      <c r="B36" s="63"/>
      <c r="C36" s="32" t="s">
        <v>46</v>
      </c>
      <c r="D36" s="17">
        <f>(ROUND(D31*'Start Page'!$F$33,2)*80)+(ROUND(D33*'Start Page'!$F$33,2)*($B$15-80))</f>
        <v>0</v>
      </c>
      <c r="E36" s="17">
        <f>(ROUND(E31*'Start Page'!$F$33,2)*80)+(ROUND(E33*'Start Page'!$F$33,2)*($B$15-80))</f>
        <v>0</v>
      </c>
      <c r="F36" s="17">
        <f>(ROUND(F31*'Start Page'!$F$33,2)*80)+(ROUND(F33*'Start Page'!$F$33,2)*($B$15-80))</f>
        <v>0</v>
      </c>
      <c r="G36" s="17">
        <f>(ROUND(G31*'Start Page'!$F$33,2)*80)+(ROUND(G33*'Start Page'!$F$33,2)*($B$15-80))</f>
        <v>0</v>
      </c>
      <c r="H36" s="17">
        <f>(ROUND(H31*'Start Page'!$F$33,2)*80)+(ROUND(H33*'Start Page'!$F$33,2)*($B$15-80))</f>
        <v>0</v>
      </c>
      <c r="I36" s="17">
        <f>(ROUND(I31*'Start Page'!$F$33,2)*80)+(ROUND(I33*'Start Page'!$F$33,2)*($B$15-80))</f>
        <v>0</v>
      </c>
      <c r="J36" s="17">
        <f>(ROUND(J31*'Start Page'!$F$33,2)*80)+(ROUND(J33*'Start Page'!$F$33,2)*($B$15-80))</f>
        <v>0</v>
      </c>
      <c r="K36" s="17">
        <f>(ROUND(K31*'Start Page'!$F$33,2)*80)+(ROUND(K33*'Start Page'!$F$33,2)*($B$15-80))</f>
        <v>0</v>
      </c>
      <c r="L36" s="17">
        <f>(ROUND(L31*'Start Page'!$F$33,2)*80)+(ROUND(L33*'Start Page'!$F$33,2)*($B$15-80))</f>
        <v>0</v>
      </c>
      <c r="M36" s="17">
        <f>(ROUND(M31*'Start Page'!$F$33,2)*80)+(ROUND(M33*'Start Page'!$F$33,2)*($B$15-80))</f>
        <v>0</v>
      </c>
    </row>
    <row r="37" spans="1:13" x14ac:dyDescent="0.2">
      <c r="A37" s="13"/>
      <c r="B37" s="13">
        <f>B30+B32+B34</f>
        <v>120</v>
      </c>
      <c r="C37" s="20" t="s">
        <v>17</v>
      </c>
      <c r="D37" s="34">
        <f t="shared" ref="D37:M37" si="20">D30+D32+D34+D36</f>
        <v>1733.92</v>
      </c>
      <c r="E37" s="34">
        <f t="shared" si="20"/>
        <v>1792.58</v>
      </c>
      <c r="F37" s="34">
        <f t="shared" si="20"/>
        <v>1849.6399999999999</v>
      </c>
      <c r="G37" s="34">
        <f t="shared" si="20"/>
        <v>1907.5</v>
      </c>
      <c r="H37" s="34">
        <f t="shared" si="20"/>
        <v>1965.3600000000001</v>
      </c>
      <c r="I37" s="34">
        <f t="shared" si="20"/>
        <v>2023.22</v>
      </c>
      <c r="J37" s="34">
        <f t="shared" si="20"/>
        <v>2080.6800000000003</v>
      </c>
      <c r="K37" s="34">
        <f t="shared" si="20"/>
        <v>2138.54</v>
      </c>
      <c r="L37" s="34">
        <f t="shared" si="20"/>
        <v>2196.3999999999996</v>
      </c>
      <c r="M37" s="34">
        <f t="shared" si="20"/>
        <v>2254.2600000000002</v>
      </c>
    </row>
    <row r="38" spans="1:13" x14ac:dyDescent="0.2">
      <c r="A38" s="13"/>
      <c r="B38" s="13"/>
      <c r="C38" s="20" t="s">
        <v>33</v>
      </c>
      <c r="D38" s="34">
        <f>D37*'Start Page'!$C$41</f>
        <v>45081.919999999998</v>
      </c>
      <c r="E38" s="34">
        <f>E37*'Start Page'!$C$41</f>
        <v>46607.08</v>
      </c>
      <c r="F38" s="34">
        <f>F37*'Start Page'!$C$41</f>
        <v>48090.64</v>
      </c>
      <c r="G38" s="34">
        <f>G37*'Start Page'!$C$41</f>
        <v>49595</v>
      </c>
      <c r="H38" s="34">
        <f>H37*'Start Page'!$C$41</f>
        <v>51099.360000000001</v>
      </c>
      <c r="I38" s="34">
        <f>I37*'Start Page'!$C$41</f>
        <v>52603.72</v>
      </c>
      <c r="J38" s="34">
        <f>J37*'Start Page'!$C$41</f>
        <v>54097.680000000008</v>
      </c>
      <c r="K38" s="34">
        <f>K37*'Start Page'!$C$41</f>
        <v>55602.04</v>
      </c>
      <c r="L38" s="34">
        <f>L37*'Start Page'!$C$41</f>
        <v>57106.399999999994</v>
      </c>
      <c r="M38" s="34">
        <f>M37*'Start Page'!$C$41</f>
        <v>58610.760000000009</v>
      </c>
    </row>
    <row r="39" spans="1:13" s="36" customFormat="1" x14ac:dyDescent="0.2">
      <c r="A39" s="22"/>
      <c r="B39" s="22"/>
      <c r="C39" s="23" t="s">
        <v>105</v>
      </c>
      <c r="D39" s="35">
        <f>((D31*80)+(D33*($B$15-80)))*'Start Page'!$C$41</f>
        <v>43014.400000000001</v>
      </c>
      <c r="E39" s="35">
        <f>((E31*80)+(E33*($B$15-80)))*'Start Page'!$C$41</f>
        <v>44470.400000000001</v>
      </c>
      <c r="F39" s="35">
        <f>((F31*80)+(F33*($B$15-80)))*'Start Page'!$C$41</f>
        <v>45884.799999999996</v>
      </c>
      <c r="G39" s="35">
        <f>((G31*80)+(G33*($B$15-80)))*'Start Page'!$C$41</f>
        <v>47320</v>
      </c>
      <c r="H39" s="35">
        <f>((H31*80)+(H33*($B$15-80)))*'Start Page'!$C$41</f>
        <v>48755.200000000004</v>
      </c>
      <c r="I39" s="35">
        <f>((I31*80)+(I33*($B$15-80)))*'Start Page'!$C$41</f>
        <v>50190.400000000001</v>
      </c>
      <c r="J39" s="35">
        <f>((J31*80)+(J33*($B$15-80)))*'Start Page'!$C$41</f>
        <v>51615.200000000004</v>
      </c>
      <c r="K39" s="35">
        <f>((K31*80)+(K33*($B$15-80)))*'Start Page'!$C$41</f>
        <v>53050.400000000001</v>
      </c>
      <c r="L39" s="35">
        <f>((L31*80)+(L33*($B$15-80)))*'Start Page'!$C$41</f>
        <v>54485.599999999999</v>
      </c>
      <c r="M39" s="124">
        <f>((M31*80)+(M33*($B$15-80)))*'Start Page'!$C$41</f>
        <v>55920.800000000003</v>
      </c>
    </row>
    <row r="40" spans="1:13" x14ac:dyDescent="0.2">
      <c r="A40" s="13"/>
      <c r="B40" s="26"/>
      <c r="C40" s="14" t="s">
        <v>30</v>
      </c>
      <c r="D40" s="120">
        <f>'GS Pay Scale'!B12</f>
        <v>34907</v>
      </c>
      <c r="E40" s="120">
        <f>'GS Pay Scale'!C12</f>
        <v>36070</v>
      </c>
      <c r="F40" s="120">
        <f>'GS Pay Scale'!D12</f>
        <v>37233</v>
      </c>
      <c r="G40" s="120">
        <f>'GS Pay Scale'!E12</f>
        <v>38397</v>
      </c>
      <c r="H40" s="120">
        <f>'GS Pay Scale'!F12</f>
        <v>39560</v>
      </c>
      <c r="I40" s="120">
        <f>'GS Pay Scale'!G12</f>
        <v>40723</v>
      </c>
      <c r="J40" s="120">
        <f>'GS Pay Scale'!H12</f>
        <v>41886</v>
      </c>
      <c r="K40" s="120">
        <f>'GS Pay Scale'!I12</f>
        <v>43050</v>
      </c>
      <c r="L40" s="120">
        <f>'GS Pay Scale'!J12</f>
        <v>44213</v>
      </c>
      <c r="M40" s="120">
        <f>'GS Pay Scale'!K12</f>
        <v>45376</v>
      </c>
    </row>
    <row r="41" spans="1:13" x14ac:dyDescent="0.2">
      <c r="A41" s="13"/>
      <c r="B41" s="13">
        <v>80</v>
      </c>
      <c r="C41" s="32" t="s">
        <v>44</v>
      </c>
      <c r="D41" s="121">
        <f t="shared" ref="D41:M41" si="21">D42*80</f>
        <v>1338.4</v>
      </c>
      <c r="E41" s="121">
        <f t="shared" si="21"/>
        <v>1382.4</v>
      </c>
      <c r="F41" s="121">
        <f t="shared" si="21"/>
        <v>1427.2</v>
      </c>
      <c r="G41" s="121">
        <f t="shared" si="21"/>
        <v>1472</v>
      </c>
      <c r="H41" s="121">
        <f t="shared" si="21"/>
        <v>1516.8000000000002</v>
      </c>
      <c r="I41" s="121">
        <f t="shared" si="21"/>
        <v>1560.8000000000002</v>
      </c>
      <c r="J41" s="121">
        <f t="shared" si="21"/>
        <v>1605.6</v>
      </c>
      <c r="K41" s="121">
        <f t="shared" si="21"/>
        <v>1650.3999999999999</v>
      </c>
      <c r="L41" s="121">
        <f t="shared" si="21"/>
        <v>1694.4</v>
      </c>
      <c r="M41" s="121">
        <f t="shared" si="21"/>
        <v>1739.1999999999998</v>
      </c>
    </row>
    <row r="42" spans="1:13" x14ac:dyDescent="0.2">
      <c r="A42" s="13"/>
      <c r="B42" s="13"/>
      <c r="C42" s="32" t="s">
        <v>20</v>
      </c>
      <c r="D42" s="33">
        <f t="shared" ref="D42:M42" si="22">ROUND(D40/2087,2)</f>
        <v>16.73</v>
      </c>
      <c r="E42" s="33">
        <f t="shared" si="22"/>
        <v>17.28</v>
      </c>
      <c r="F42" s="33">
        <f t="shared" si="22"/>
        <v>17.84</v>
      </c>
      <c r="G42" s="33">
        <f t="shared" si="22"/>
        <v>18.399999999999999</v>
      </c>
      <c r="H42" s="33">
        <f t="shared" si="22"/>
        <v>18.96</v>
      </c>
      <c r="I42" s="33">
        <f t="shared" si="22"/>
        <v>19.510000000000002</v>
      </c>
      <c r="J42" s="33">
        <f t="shared" si="22"/>
        <v>20.07</v>
      </c>
      <c r="K42" s="33">
        <f t="shared" si="22"/>
        <v>20.63</v>
      </c>
      <c r="L42" s="33">
        <f t="shared" si="22"/>
        <v>21.18</v>
      </c>
      <c r="M42" s="33">
        <f t="shared" si="22"/>
        <v>21.74</v>
      </c>
    </row>
    <row r="43" spans="1:13" x14ac:dyDescent="0.2">
      <c r="A43" s="13"/>
      <c r="B43" s="13">
        <v>26</v>
      </c>
      <c r="C43" s="16" t="s">
        <v>41</v>
      </c>
      <c r="D43" s="33">
        <f t="shared" ref="D43:M43" si="23">D44*26</f>
        <v>329.42</v>
      </c>
      <c r="E43" s="33">
        <f t="shared" si="23"/>
        <v>340.34</v>
      </c>
      <c r="F43" s="33">
        <f t="shared" si="23"/>
        <v>351.26</v>
      </c>
      <c r="G43" s="33">
        <f t="shared" si="23"/>
        <v>362.18</v>
      </c>
      <c r="H43" s="33">
        <f t="shared" si="23"/>
        <v>373.09999999999997</v>
      </c>
      <c r="I43" s="33">
        <f t="shared" si="23"/>
        <v>384.28</v>
      </c>
      <c r="J43" s="33">
        <f t="shared" si="23"/>
        <v>395.2</v>
      </c>
      <c r="K43" s="33">
        <f t="shared" si="23"/>
        <v>406.12</v>
      </c>
      <c r="L43" s="33">
        <f t="shared" si="23"/>
        <v>417.03999999999996</v>
      </c>
      <c r="M43" s="33">
        <f t="shared" si="23"/>
        <v>427.96000000000004</v>
      </c>
    </row>
    <row r="44" spans="1:13" x14ac:dyDescent="0.2">
      <c r="A44" s="13"/>
      <c r="B44" s="13"/>
      <c r="C44" s="16" t="s">
        <v>13</v>
      </c>
      <c r="D44" s="33">
        <f t="shared" ref="D44:M44" si="24">ROUND(D40/2756,2)</f>
        <v>12.67</v>
      </c>
      <c r="E44" s="33">
        <f t="shared" si="24"/>
        <v>13.09</v>
      </c>
      <c r="F44" s="33">
        <f t="shared" si="24"/>
        <v>13.51</v>
      </c>
      <c r="G44" s="33">
        <f t="shared" si="24"/>
        <v>13.93</v>
      </c>
      <c r="H44" s="33">
        <f t="shared" si="24"/>
        <v>14.35</v>
      </c>
      <c r="I44" s="33">
        <f t="shared" si="24"/>
        <v>14.78</v>
      </c>
      <c r="J44" s="33">
        <f t="shared" si="24"/>
        <v>15.2</v>
      </c>
      <c r="K44" s="33">
        <f t="shared" si="24"/>
        <v>15.62</v>
      </c>
      <c r="L44" s="33">
        <f t="shared" si="24"/>
        <v>16.04</v>
      </c>
      <c r="M44" s="33">
        <f t="shared" si="24"/>
        <v>16.46</v>
      </c>
    </row>
    <row r="45" spans="1:13" x14ac:dyDescent="0.2">
      <c r="A45" s="13" t="s">
        <v>18</v>
      </c>
      <c r="B45" s="19">
        <f>($G$3-53)*2</f>
        <v>14</v>
      </c>
      <c r="C45" s="16" t="s">
        <v>42</v>
      </c>
      <c r="D45" s="33">
        <f t="shared" ref="D45:M45" si="25">D46*$B$12</f>
        <v>266.14000000000004</v>
      </c>
      <c r="E45" s="33">
        <f t="shared" si="25"/>
        <v>274.96000000000004</v>
      </c>
      <c r="F45" s="33">
        <f t="shared" si="25"/>
        <v>283.77999999999997</v>
      </c>
      <c r="G45" s="33">
        <f t="shared" si="25"/>
        <v>292.59999999999997</v>
      </c>
      <c r="H45" s="33">
        <f t="shared" si="25"/>
        <v>301.42</v>
      </c>
      <c r="I45" s="33">
        <f t="shared" si="25"/>
        <v>310.38</v>
      </c>
      <c r="J45" s="33">
        <f t="shared" si="25"/>
        <v>319.2</v>
      </c>
      <c r="K45" s="33">
        <f t="shared" si="25"/>
        <v>328.02</v>
      </c>
      <c r="L45" s="33">
        <f t="shared" si="25"/>
        <v>336.84</v>
      </c>
      <c r="M45" s="33">
        <f t="shared" si="25"/>
        <v>345.66</v>
      </c>
    </row>
    <row r="46" spans="1:13" x14ac:dyDescent="0.2">
      <c r="A46" s="13"/>
      <c r="B46" s="13"/>
      <c r="C46" s="16" t="s">
        <v>14</v>
      </c>
      <c r="D46" s="17">
        <f t="shared" ref="D46:M46" si="26">IF(ROUND(D44*1.5,2)&lt;$G$149,ROUND(D44*1.5,2),IF($G$149&lt;D44,D44,$G$149))</f>
        <v>19.010000000000002</v>
      </c>
      <c r="E46" s="17">
        <f t="shared" si="26"/>
        <v>19.64</v>
      </c>
      <c r="F46" s="17">
        <f t="shared" si="26"/>
        <v>20.27</v>
      </c>
      <c r="G46" s="17">
        <f t="shared" si="26"/>
        <v>20.9</v>
      </c>
      <c r="H46" s="17">
        <f t="shared" si="26"/>
        <v>21.53</v>
      </c>
      <c r="I46" s="17">
        <f t="shared" si="26"/>
        <v>22.17</v>
      </c>
      <c r="J46" s="17">
        <f t="shared" si="26"/>
        <v>22.8</v>
      </c>
      <c r="K46" s="17">
        <f t="shared" si="26"/>
        <v>23.43</v>
      </c>
      <c r="L46" s="17">
        <f t="shared" si="26"/>
        <v>24.06</v>
      </c>
      <c r="M46" s="17">
        <f t="shared" si="26"/>
        <v>24.69</v>
      </c>
    </row>
    <row r="47" spans="1:13" s="64" customFormat="1" x14ac:dyDescent="0.2">
      <c r="A47" s="63"/>
      <c r="B47" s="63"/>
      <c r="C47" s="32" t="s">
        <v>46</v>
      </c>
      <c r="D47" s="17">
        <f>(ROUND(D42*'Start Page'!$F$33,2)*80)+(ROUND(D44*'Start Page'!$F$33,2)*($B$15-80))</f>
        <v>0</v>
      </c>
      <c r="E47" s="17">
        <f>(ROUND(E42*'Start Page'!$F$33,2)*80)+(ROUND(E44*'Start Page'!$F$33,2)*($B$15-80))</f>
        <v>0</v>
      </c>
      <c r="F47" s="17">
        <f>(ROUND(F42*'Start Page'!$F$33,2)*80)+(ROUND(F44*'Start Page'!$F$33,2)*($B$15-80))</f>
        <v>0</v>
      </c>
      <c r="G47" s="17">
        <f>(ROUND(G42*'Start Page'!$F$33,2)*80)+(ROUND(G44*'Start Page'!$F$33,2)*($B$15-80))</f>
        <v>0</v>
      </c>
      <c r="H47" s="17">
        <f>(ROUND(H42*'Start Page'!$F$33,2)*80)+(ROUND(H44*'Start Page'!$F$33,2)*($B$15-80))</f>
        <v>0</v>
      </c>
      <c r="I47" s="17">
        <f>(ROUND(I42*'Start Page'!$F$33,2)*80)+(ROUND(I44*'Start Page'!$F$33,2)*($B$15-80))</f>
        <v>0</v>
      </c>
      <c r="J47" s="17">
        <f>(ROUND(J42*'Start Page'!$F$33,2)*80)+(ROUND(J44*'Start Page'!$F$33,2)*($B$15-80))</f>
        <v>0</v>
      </c>
      <c r="K47" s="17">
        <f>(ROUND(K42*'Start Page'!$F$33,2)*80)+(ROUND(K44*'Start Page'!$F$33,2)*($B$15-80))</f>
        <v>0</v>
      </c>
      <c r="L47" s="17">
        <f>(ROUND(L42*'Start Page'!$F$33,2)*80)+(ROUND(L44*'Start Page'!$F$33,2)*($B$15-80))</f>
        <v>0</v>
      </c>
      <c r="M47" s="17">
        <f>(ROUND(M42*'Start Page'!$F$33,2)*80)+(ROUND(M44*'Start Page'!$F$33,2)*($B$15-80))</f>
        <v>0</v>
      </c>
    </row>
    <row r="48" spans="1:13" x14ac:dyDescent="0.2">
      <c r="A48" s="13"/>
      <c r="B48" s="13">
        <f>B41+B43+B45</f>
        <v>120</v>
      </c>
      <c r="C48" s="20" t="s">
        <v>17</v>
      </c>
      <c r="D48" s="34">
        <f t="shared" ref="D48:M48" si="27">D41+D43+D45+D47</f>
        <v>1933.9600000000003</v>
      </c>
      <c r="E48" s="34">
        <f t="shared" si="27"/>
        <v>1997.7</v>
      </c>
      <c r="F48" s="34">
        <f t="shared" si="27"/>
        <v>2062.2399999999998</v>
      </c>
      <c r="G48" s="34">
        <f t="shared" si="27"/>
        <v>2126.7800000000002</v>
      </c>
      <c r="H48" s="34">
        <f t="shared" si="27"/>
        <v>2191.3200000000002</v>
      </c>
      <c r="I48" s="34">
        <f t="shared" si="27"/>
        <v>2255.46</v>
      </c>
      <c r="J48" s="34">
        <f t="shared" si="27"/>
        <v>2320</v>
      </c>
      <c r="K48" s="34">
        <f t="shared" si="27"/>
        <v>2384.54</v>
      </c>
      <c r="L48" s="34">
        <f t="shared" si="27"/>
        <v>2448.2800000000002</v>
      </c>
      <c r="M48" s="34">
        <f t="shared" si="27"/>
        <v>2512.8199999999997</v>
      </c>
    </row>
    <row r="49" spans="1:13" x14ac:dyDescent="0.2">
      <c r="A49" s="13"/>
      <c r="B49" s="13"/>
      <c r="C49" s="20" t="s">
        <v>33</v>
      </c>
      <c r="D49" s="34">
        <f>D48*'Start Page'!$C$41</f>
        <v>50282.960000000006</v>
      </c>
      <c r="E49" s="34">
        <f>E48*'Start Page'!$C$41</f>
        <v>51940.200000000004</v>
      </c>
      <c r="F49" s="34">
        <f>F48*'Start Page'!$C$41</f>
        <v>53618.239999999991</v>
      </c>
      <c r="G49" s="34">
        <f>G48*'Start Page'!$C$41</f>
        <v>55296.280000000006</v>
      </c>
      <c r="H49" s="34">
        <f>H48*'Start Page'!$C$41</f>
        <v>56974.320000000007</v>
      </c>
      <c r="I49" s="34">
        <f>I48*'Start Page'!$C$41</f>
        <v>58641.96</v>
      </c>
      <c r="J49" s="34">
        <f>J48*'Start Page'!$C$41</f>
        <v>60320</v>
      </c>
      <c r="K49" s="34">
        <f>K48*'Start Page'!$C$41</f>
        <v>61998.04</v>
      </c>
      <c r="L49" s="34">
        <f>L48*'Start Page'!$C$41</f>
        <v>63655.280000000006</v>
      </c>
      <c r="M49" s="34">
        <f>M48*'Start Page'!$C$41</f>
        <v>65333.319999999992</v>
      </c>
    </row>
    <row r="50" spans="1:13" s="36" customFormat="1" x14ac:dyDescent="0.2">
      <c r="A50" s="22"/>
      <c r="B50" s="22"/>
      <c r="C50" s="23" t="s">
        <v>105</v>
      </c>
      <c r="D50" s="35">
        <f>((D42*80)+(D44*($B$15-80)))*'Start Page'!$C$41</f>
        <v>47975.200000000004</v>
      </c>
      <c r="E50" s="35">
        <f>((E42*80)+(E44*($B$15-80)))*'Start Page'!$C$41</f>
        <v>49556</v>
      </c>
      <c r="F50" s="35">
        <f>((F42*80)+(F44*($B$15-80)))*'Start Page'!$C$41</f>
        <v>51157.599999999999</v>
      </c>
      <c r="G50" s="35">
        <f>((G42*80)+(G44*($B$15-80)))*'Start Page'!$C$41</f>
        <v>52759.200000000004</v>
      </c>
      <c r="H50" s="35">
        <f>((H42*80)+(H44*($B$15-80)))*'Start Page'!$C$41</f>
        <v>54360.800000000003</v>
      </c>
      <c r="I50" s="35">
        <f>((I42*80)+(I44*($B$15-80)))*'Start Page'!$C$41</f>
        <v>55952</v>
      </c>
      <c r="J50" s="35">
        <f>((J42*80)+(J44*($B$15-80)))*'Start Page'!$C$41</f>
        <v>57553.599999999999</v>
      </c>
      <c r="K50" s="35">
        <f>((K42*80)+(K44*($B$15-80)))*'Start Page'!$C$41</f>
        <v>59155.199999999997</v>
      </c>
      <c r="L50" s="35">
        <f>((L42*80)+(L44*($B$15-80)))*'Start Page'!$C$41</f>
        <v>60736</v>
      </c>
      <c r="M50" s="124">
        <f>((M42*80)+(M44*($B$15-80)))*'Start Page'!$C$41</f>
        <v>62337.599999999999</v>
      </c>
    </row>
    <row r="51" spans="1:13" x14ac:dyDescent="0.2">
      <c r="A51" s="12" t="s">
        <v>0</v>
      </c>
      <c r="B51" s="12" t="s">
        <v>43</v>
      </c>
      <c r="C51" s="12" t="s">
        <v>1</v>
      </c>
      <c r="D51" s="12" t="s">
        <v>2</v>
      </c>
      <c r="E51" s="12" t="s">
        <v>3</v>
      </c>
      <c r="F51" s="12" t="s">
        <v>4</v>
      </c>
      <c r="G51" s="12" t="s">
        <v>5</v>
      </c>
      <c r="H51" s="12" t="s">
        <v>6</v>
      </c>
      <c r="I51" s="12" t="s">
        <v>7</v>
      </c>
      <c r="J51" s="12" t="s">
        <v>8</v>
      </c>
      <c r="K51" s="12" t="s">
        <v>9</v>
      </c>
      <c r="L51" s="12" t="s">
        <v>10</v>
      </c>
      <c r="M51" s="12" t="s">
        <v>11</v>
      </c>
    </row>
    <row r="52" spans="1:13" x14ac:dyDescent="0.2">
      <c r="A52" s="26"/>
      <c r="B52" s="26"/>
      <c r="C52" s="14" t="s">
        <v>30</v>
      </c>
      <c r="D52" s="121">
        <f>'GS Pay Scale'!B13</f>
        <v>38790</v>
      </c>
      <c r="E52" s="121">
        <f>'GS Pay Scale'!C13</f>
        <v>40084</v>
      </c>
      <c r="F52" s="121">
        <f>'GS Pay Scale'!D13</f>
        <v>41377</v>
      </c>
      <c r="G52" s="121">
        <f>'GS Pay Scale'!E13</f>
        <v>42671</v>
      </c>
      <c r="H52" s="121">
        <f>'GS Pay Scale'!F13</f>
        <v>43964</v>
      </c>
      <c r="I52" s="121">
        <f>'GS Pay Scale'!G13</f>
        <v>45258</v>
      </c>
      <c r="J52" s="121">
        <f>'GS Pay Scale'!H13</f>
        <v>46551</v>
      </c>
      <c r="K52" s="121">
        <f>'GS Pay Scale'!I13</f>
        <v>47844</v>
      </c>
      <c r="L52" s="121">
        <f>'GS Pay Scale'!J13</f>
        <v>49138</v>
      </c>
      <c r="M52" s="121">
        <f>'GS Pay Scale'!K13</f>
        <v>50431</v>
      </c>
    </row>
    <row r="53" spans="1:13" x14ac:dyDescent="0.2">
      <c r="A53" s="13"/>
      <c r="B53" s="13">
        <v>80</v>
      </c>
      <c r="C53" s="32" t="s">
        <v>44</v>
      </c>
      <c r="D53" s="121">
        <f t="shared" ref="D53:M53" si="28">D54*80</f>
        <v>1487.2</v>
      </c>
      <c r="E53" s="121">
        <f t="shared" si="28"/>
        <v>1536.8000000000002</v>
      </c>
      <c r="F53" s="121">
        <f t="shared" si="28"/>
        <v>1586.3999999999999</v>
      </c>
      <c r="G53" s="121">
        <f t="shared" si="28"/>
        <v>1636</v>
      </c>
      <c r="H53" s="121">
        <f t="shared" si="28"/>
        <v>1685.6</v>
      </c>
      <c r="I53" s="121">
        <f t="shared" si="28"/>
        <v>1735.2</v>
      </c>
      <c r="J53" s="121">
        <f t="shared" si="28"/>
        <v>1784.8</v>
      </c>
      <c r="K53" s="121">
        <f t="shared" si="28"/>
        <v>1833.6000000000001</v>
      </c>
      <c r="L53" s="121">
        <f t="shared" si="28"/>
        <v>1883.1999999999998</v>
      </c>
      <c r="M53" s="121">
        <f t="shared" si="28"/>
        <v>1932.8</v>
      </c>
    </row>
    <row r="54" spans="1:13" x14ac:dyDescent="0.2">
      <c r="A54" s="13"/>
      <c r="B54" s="13"/>
      <c r="C54" s="32" t="s">
        <v>20</v>
      </c>
      <c r="D54" s="33">
        <f>ROUND(D52/2087,2)</f>
        <v>18.59</v>
      </c>
      <c r="E54" s="33">
        <f t="shared" ref="E54:M54" si="29">ROUND(E52/2087,2)</f>
        <v>19.21</v>
      </c>
      <c r="F54" s="33">
        <f t="shared" si="29"/>
        <v>19.829999999999998</v>
      </c>
      <c r="G54" s="33">
        <f t="shared" si="29"/>
        <v>20.45</v>
      </c>
      <c r="H54" s="33">
        <f t="shared" si="29"/>
        <v>21.07</v>
      </c>
      <c r="I54" s="33">
        <f t="shared" si="29"/>
        <v>21.69</v>
      </c>
      <c r="J54" s="33">
        <f t="shared" si="29"/>
        <v>22.31</v>
      </c>
      <c r="K54" s="33">
        <f t="shared" si="29"/>
        <v>22.92</v>
      </c>
      <c r="L54" s="33">
        <f t="shared" si="29"/>
        <v>23.54</v>
      </c>
      <c r="M54" s="33">
        <f t="shared" si="29"/>
        <v>24.16</v>
      </c>
    </row>
    <row r="55" spans="1:13" x14ac:dyDescent="0.2">
      <c r="A55" s="13"/>
      <c r="B55" s="13">
        <v>26</v>
      </c>
      <c r="C55" s="16" t="s">
        <v>41</v>
      </c>
      <c r="D55" s="33">
        <f t="shared" ref="D55:M55" si="30">D56*26</f>
        <v>365.82</v>
      </c>
      <c r="E55" s="33">
        <f t="shared" si="30"/>
        <v>378.03999999999996</v>
      </c>
      <c r="F55" s="33">
        <f t="shared" si="30"/>
        <v>390.26</v>
      </c>
      <c r="G55" s="33">
        <f t="shared" si="30"/>
        <v>402.48</v>
      </c>
      <c r="H55" s="33">
        <f t="shared" si="30"/>
        <v>414.7</v>
      </c>
      <c r="I55" s="33">
        <f t="shared" si="30"/>
        <v>426.92000000000007</v>
      </c>
      <c r="J55" s="33">
        <f t="shared" si="30"/>
        <v>439.14</v>
      </c>
      <c r="K55" s="33">
        <f t="shared" si="30"/>
        <v>451.36</v>
      </c>
      <c r="L55" s="33">
        <f t="shared" si="30"/>
        <v>463.57999999999993</v>
      </c>
      <c r="M55" s="33">
        <f t="shared" si="30"/>
        <v>475.8</v>
      </c>
    </row>
    <row r="56" spans="1:13" x14ac:dyDescent="0.2">
      <c r="A56" s="13"/>
      <c r="B56" s="13"/>
      <c r="C56" s="16" t="s">
        <v>13</v>
      </c>
      <c r="D56" s="33">
        <f>ROUND(D52/2756,2)</f>
        <v>14.07</v>
      </c>
      <c r="E56" s="33">
        <f t="shared" ref="E56:M56" si="31">ROUND(E52/2756,2)</f>
        <v>14.54</v>
      </c>
      <c r="F56" s="33">
        <f t="shared" si="31"/>
        <v>15.01</v>
      </c>
      <c r="G56" s="33">
        <f t="shared" si="31"/>
        <v>15.48</v>
      </c>
      <c r="H56" s="33">
        <f t="shared" si="31"/>
        <v>15.95</v>
      </c>
      <c r="I56" s="33">
        <f t="shared" si="31"/>
        <v>16.420000000000002</v>
      </c>
      <c r="J56" s="33">
        <f t="shared" si="31"/>
        <v>16.89</v>
      </c>
      <c r="K56" s="33">
        <f t="shared" si="31"/>
        <v>17.36</v>
      </c>
      <c r="L56" s="33">
        <f t="shared" si="31"/>
        <v>17.829999999999998</v>
      </c>
      <c r="M56" s="33">
        <f t="shared" si="31"/>
        <v>18.3</v>
      </c>
    </row>
    <row r="57" spans="1:13" x14ac:dyDescent="0.2">
      <c r="A57" s="13" t="s">
        <v>12</v>
      </c>
      <c r="B57" s="19">
        <f>($G$3-53)*2</f>
        <v>14</v>
      </c>
      <c r="C57" s="16" t="s">
        <v>42</v>
      </c>
      <c r="D57" s="33">
        <f t="shared" ref="D57:M57" si="32">D58*$B$12</f>
        <v>295.53999999999996</v>
      </c>
      <c r="E57" s="33">
        <f t="shared" si="32"/>
        <v>305.33999999999997</v>
      </c>
      <c r="F57" s="33">
        <f t="shared" si="32"/>
        <v>315.27999999999997</v>
      </c>
      <c r="G57" s="33">
        <f t="shared" si="32"/>
        <v>325.08</v>
      </c>
      <c r="H57" s="33">
        <f t="shared" si="32"/>
        <v>335.02</v>
      </c>
      <c r="I57" s="33">
        <f t="shared" si="32"/>
        <v>344.82</v>
      </c>
      <c r="J57" s="33">
        <f t="shared" si="32"/>
        <v>354.76</v>
      </c>
      <c r="K57" s="33">
        <f t="shared" si="32"/>
        <v>364.56</v>
      </c>
      <c r="L57" s="33">
        <f t="shared" si="32"/>
        <v>374.5</v>
      </c>
      <c r="M57" s="33">
        <f t="shared" si="32"/>
        <v>384.3</v>
      </c>
    </row>
    <row r="58" spans="1:13" x14ac:dyDescent="0.2">
      <c r="A58" s="13"/>
      <c r="B58" s="13"/>
      <c r="C58" s="16" t="s">
        <v>14</v>
      </c>
      <c r="D58" s="17">
        <f>IF(ROUND(D56*1.5,2)&lt;$G$149,ROUND(D56*1.5,2),IF($G$149&lt;D56,D56,$G$149))</f>
        <v>21.11</v>
      </c>
      <c r="E58" s="17">
        <f t="shared" ref="E58:M58" si="33">IF(ROUND(E56*1.5,2)&lt;$G$149,ROUND(E56*1.5,2),IF($G$149&lt;E56,E56,$G$149))</f>
        <v>21.81</v>
      </c>
      <c r="F58" s="17">
        <f t="shared" si="33"/>
        <v>22.52</v>
      </c>
      <c r="G58" s="17">
        <f t="shared" si="33"/>
        <v>23.22</v>
      </c>
      <c r="H58" s="17">
        <f t="shared" si="33"/>
        <v>23.93</v>
      </c>
      <c r="I58" s="17">
        <f t="shared" si="33"/>
        <v>24.63</v>
      </c>
      <c r="J58" s="17">
        <f t="shared" si="33"/>
        <v>25.34</v>
      </c>
      <c r="K58" s="17">
        <f t="shared" si="33"/>
        <v>26.04</v>
      </c>
      <c r="L58" s="17">
        <f t="shared" si="33"/>
        <v>26.75</v>
      </c>
      <c r="M58" s="17">
        <f t="shared" si="33"/>
        <v>27.45</v>
      </c>
    </row>
    <row r="59" spans="1:13" s="64" customFormat="1" x14ac:dyDescent="0.2">
      <c r="A59" s="63"/>
      <c r="B59" s="63"/>
      <c r="C59" s="32" t="s">
        <v>46</v>
      </c>
      <c r="D59" s="17">
        <f>(ROUND(D54*'Start Page'!$F$33,2)*80)+(ROUND(D56*'Start Page'!$F$33,2)*($B$15-80))</f>
        <v>0</v>
      </c>
      <c r="E59" s="17">
        <f>(ROUND(E54*'Start Page'!$F$33,2)*80)+(ROUND(E56*'Start Page'!$F$33,2)*($B$15-80))</f>
        <v>0</v>
      </c>
      <c r="F59" s="17">
        <f>(ROUND(F54*'Start Page'!$F$33,2)*80)+(ROUND(F56*'Start Page'!$F$33,2)*($B$15-80))</f>
        <v>0</v>
      </c>
      <c r="G59" s="17">
        <f>(ROUND(G54*'Start Page'!$F$33,2)*80)+(ROUND(G56*'Start Page'!$F$33,2)*($B$15-80))</f>
        <v>0</v>
      </c>
      <c r="H59" s="17">
        <f>(ROUND(H54*'Start Page'!$F$33,2)*80)+(ROUND(H56*'Start Page'!$F$33,2)*($B$15-80))</f>
        <v>0</v>
      </c>
      <c r="I59" s="17">
        <f>(ROUND(I54*'Start Page'!$F$33,2)*80)+(ROUND(I56*'Start Page'!$F$33,2)*($B$15-80))</f>
        <v>0</v>
      </c>
      <c r="J59" s="17">
        <f>(ROUND(J54*'Start Page'!$F$33,2)*80)+(ROUND(J56*'Start Page'!$F$33,2)*($B$15-80))</f>
        <v>0</v>
      </c>
      <c r="K59" s="17">
        <f>(ROUND(K54*'Start Page'!$F$33,2)*80)+(ROUND(K56*'Start Page'!$F$33,2)*($B$15-80))</f>
        <v>0</v>
      </c>
      <c r="L59" s="17">
        <f>(ROUND(L54*'Start Page'!$F$33,2)*80)+(ROUND(L56*'Start Page'!$F$33,2)*($B$15-80))</f>
        <v>0</v>
      </c>
      <c r="M59" s="17">
        <f>(ROUND(M54*'Start Page'!$F$33,2)*80)+(ROUND(M56*'Start Page'!$F$33,2)*($B$15-80))</f>
        <v>0</v>
      </c>
    </row>
    <row r="60" spans="1:13" x14ac:dyDescent="0.2">
      <c r="A60" s="13"/>
      <c r="B60" s="13">
        <f>B53+B55+B57</f>
        <v>120</v>
      </c>
      <c r="C60" s="20" t="s">
        <v>17</v>
      </c>
      <c r="D60" s="34">
        <f t="shared" ref="D60:M60" si="34">D53+D55+D57+D59</f>
        <v>2148.56</v>
      </c>
      <c r="E60" s="34">
        <f t="shared" si="34"/>
        <v>2220.1800000000003</v>
      </c>
      <c r="F60" s="34">
        <f t="shared" si="34"/>
        <v>2291.9399999999996</v>
      </c>
      <c r="G60" s="34">
        <f t="shared" si="34"/>
        <v>2363.56</v>
      </c>
      <c r="H60" s="34">
        <f t="shared" si="34"/>
        <v>2435.3199999999997</v>
      </c>
      <c r="I60" s="34">
        <f t="shared" si="34"/>
        <v>2506.94</v>
      </c>
      <c r="J60" s="34">
        <f t="shared" si="34"/>
        <v>2578.6999999999998</v>
      </c>
      <c r="K60" s="34">
        <f t="shared" si="34"/>
        <v>2649.52</v>
      </c>
      <c r="L60" s="34">
        <f t="shared" si="34"/>
        <v>2721.2799999999997</v>
      </c>
      <c r="M60" s="34">
        <f t="shared" si="34"/>
        <v>2792.9</v>
      </c>
    </row>
    <row r="61" spans="1:13" x14ac:dyDescent="0.2">
      <c r="A61" s="13"/>
      <c r="B61" s="13"/>
      <c r="C61" s="20" t="s">
        <v>33</v>
      </c>
      <c r="D61" s="34">
        <f>D60*'Start Page'!$C$41</f>
        <v>55862.559999999998</v>
      </c>
      <c r="E61" s="34">
        <f>E60*'Start Page'!$C$41</f>
        <v>57724.680000000008</v>
      </c>
      <c r="F61" s="34">
        <f>F60*'Start Page'!$C$41</f>
        <v>59590.439999999988</v>
      </c>
      <c r="G61" s="34">
        <f>G60*'Start Page'!$C$41</f>
        <v>61452.56</v>
      </c>
      <c r="H61" s="34">
        <f>H60*'Start Page'!$C$41</f>
        <v>63318.319999999992</v>
      </c>
      <c r="I61" s="34">
        <f>I60*'Start Page'!$C$41</f>
        <v>65180.44</v>
      </c>
      <c r="J61" s="34">
        <f>J60*'Start Page'!$C$41</f>
        <v>67046.2</v>
      </c>
      <c r="K61" s="34">
        <f>K60*'Start Page'!$C$41</f>
        <v>68887.520000000004</v>
      </c>
      <c r="L61" s="34">
        <f>L60*'Start Page'!$C$41</f>
        <v>70753.279999999999</v>
      </c>
      <c r="M61" s="34">
        <f>M60*'Start Page'!$C$41</f>
        <v>72615.400000000009</v>
      </c>
    </row>
    <row r="62" spans="1:13" s="36" customFormat="1" x14ac:dyDescent="0.2">
      <c r="A62" s="22"/>
      <c r="B62" s="22"/>
      <c r="C62" s="23" t="s">
        <v>105</v>
      </c>
      <c r="D62" s="35">
        <f>((D54*80)+(D56*($B$15-80)))*'Start Page'!$C$41</f>
        <v>53300</v>
      </c>
      <c r="E62" s="35">
        <f>((E54*80)+(E56*($B$15-80)))*'Start Page'!$C$41</f>
        <v>55078.400000000001</v>
      </c>
      <c r="F62" s="35">
        <f>((F54*80)+(F56*($B$15-80)))*'Start Page'!$C$41</f>
        <v>56856.799999999996</v>
      </c>
      <c r="G62" s="35">
        <f>((G54*80)+(G56*($B$15-80)))*'Start Page'!$C$41</f>
        <v>58635.199999999997</v>
      </c>
      <c r="H62" s="35">
        <f>((H54*80)+(H56*($B$15-80)))*'Start Page'!$C$41</f>
        <v>60413.599999999999</v>
      </c>
      <c r="I62" s="35">
        <f>((I54*80)+(I56*($B$15-80)))*'Start Page'!$C$41</f>
        <v>62192</v>
      </c>
      <c r="J62" s="35">
        <f>((J54*80)+(J56*($B$15-80)))*'Start Page'!$C$41</f>
        <v>63970.400000000001</v>
      </c>
      <c r="K62" s="35">
        <f>((K54*80)+(K56*($B$15-80)))*'Start Page'!$C$41</f>
        <v>65728</v>
      </c>
      <c r="L62" s="35">
        <f>((L54*80)+(L56*($B$15-80)))*'Start Page'!$C$41</f>
        <v>67506.399999999994</v>
      </c>
      <c r="M62" s="124">
        <f>((M54*80)+(M56*($B$15-80)))*'Start Page'!$C$41</f>
        <v>69284.800000000003</v>
      </c>
    </row>
    <row r="63" spans="1:13" x14ac:dyDescent="0.2">
      <c r="A63" s="26"/>
      <c r="B63" s="26"/>
      <c r="C63" s="14" t="s">
        <v>30</v>
      </c>
      <c r="D63" s="121">
        <f>'GS Pay Scale'!B14</f>
        <v>42960</v>
      </c>
      <c r="E63" s="121">
        <f>'GS Pay Scale'!C14</f>
        <v>44391</v>
      </c>
      <c r="F63" s="121">
        <f>'GS Pay Scale'!D14</f>
        <v>45823</v>
      </c>
      <c r="G63" s="121">
        <f>'GS Pay Scale'!E14</f>
        <v>47254</v>
      </c>
      <c r="H63" s="121">
        <f>'GS Pay Scale'!F14</f>
        <v>48686</v>
      </c>
      <c r="I63" s="121">
        <f>'GS Pay Scale'!G14</f>
        <v>50117</v>
      </c>
      <c r="J63" s="121">
        <f>'GS Pay Scale'!H14</f>
        <v>51549</v>
      </c>
      <c r="K63" s="121">
        <f>'GS Pay Scale'!I14</f>
        <v>52981</v>
      </c>
      <c r="L63" s="121">
        <f>'GS Pay Scale'!J14</f>
        <v>54412</v>
      </c>
      <c r="M63" s="121">
        <f>'GS Pay Scale'!K14</f>
        <v>55844</v>
      </c>
    </row>
    <row r="64" spans="1:13" x14ac:dyDescent="0.2">
      <c r="A64" s="13"/>
      <c r="B64" s="13">
        <v>80</v>
      </c>
      <c r="C64" s="32" t="s">
        <v>44</v>
      </c>
      <c r="D64" s="121">
        <f t="shared" ref="D64:M64" si="35">D65*80</f>
        <v>1646.3999999999999</v>
      </c>
      <c r="E64" s="121">
        <f t="shared" si="35"/>
        <v>1701.6</v>
      </c>
      <c r="F64" s="121">
        <f t="shared" si="35"/>
        <v>1756.8000000000002</v>
      </c>
      <c r="G64" s="121">
        <f t="shared" si="35"/>
        <v>1811.2</v>
      </c>
      <c r="H64" s="121">
        <f t="shared" si="35"/>
        <v>1866.3999999999999</v>
      </c>
      <c r="I64" s="121">
        <f t="shared" si="35"/>
        <v>1920.8000000000002</v>
      </c>
      <c r="J64" s="121">
        <f t="shared" si="35"/>
        <v>1976</v>
      </c>
      <c r="K64" s="121">
        <f t="shared" si="35"/>
        <v>2031.2</v>
      </c>
      <c r="L64" s="121">
        <f t="shared" si="35"/>
        <v>2085.6</v>
      </c>
      <c r="M64" s="121">
        <f t="shared" si="35"/>
        <v>2140.8000000000002</v>
      </c>
    </row>
    <row r="65" spans="1:13" x14ac:dyDescent="0.2">
      <c r="A65" s="13"/>
      <c r="B65" s="13"/>
      <c r="C65" s="32" t="s">
        <v>20</v>
      </c>
      <c r="D65" s="33">
        <f t="shared" ref="D65:M65" si="36">ROUND(D63/2087,2)</f>
        <v>20.58</v>
      </c>
      <c r="E65" s="33">
        <f t="shared" si="36"/>
        <v>21.27</v>
      </c>
      <c r="F65" s="33">
        <f t="shared" si="36"/>
        <v>21.96</v>
      </c>
      <c r="G65" s="33">
        <f t="shared" si="36"/>
        <v>22.64</v>
      </c>
      <c r="H65" s="33">
        <f t="shared" si="36"/>
        <v>23.33</v>
      </c>
      <c r="I65" s="33">
        <f t="shared" si="36"/>
        <v>24.01</v>
      </c>
      <c r="J65" s="33">
        <f t="shared" si="36"/>
        <v>24.7</v>
      </c>
      <c r="K65" s="33">
        <f t="shared" si="36"/>
        <v>25.39</v>
      </c>
      <c r="L65" s="33">
        <f t="shared" si="36"/>
        <v>26.07</v>
      </c>
      <c r="M65" s="33">
        <f t="shared" si="36"/>
        <v>26.76</v>
      </c>
    </row>
    <row r="66" spans="1:13" x14ac:dyDescent="0.2">
      <c r="A66" s="13"/>
      <c r="B66" s="13">
        <v>26</v>
      </c>
      <c r="C66" s="16" t="s">
        <v>41</v>
      </c>
      <c r="D66" s="33">
        <f t="shared" ref="D66:M66" si="37">D67*26</f>
        <v>405.34</v>
      </c>
      <c r="E66" s="33">
        <f t="shared" si="37"/>
        <v>418.86</v>
      </c>
      <c r="F66" s="33">
        <f t="shared" si="37"/>
        <v>432.38</v>
      </c>
      <c r="G66" s="33">
        <f t="shared" si="37"/>
        <v>445.9</v>
      </c>
      <c r="H66" s="33">
        <f t="shared" si="37"/>
        <v>459.42000000000007</v>
      </c>
      <c r="I66" s="33">
        <f t="shared" si="37"/>
        <v>472.68</v>
      </c>
      <c r="J66" s="33">
        <f t="shared" si="37"/>
        <v>486.2</v>
      </c>
      <c r="K66" s="33">
        <f t="shared" si="37"/>
        <v>499.71999999999997</v>
      </c>
      <c r="L66" s="33">
        <f t="shared" si="37"/>
        <v>513.24</v>
      </c>
      <c r="M66" s="33">
        <f t="shared" si="37"/>
        <v>526.76</v>
      </c>
    </row>
    <row r="67" spans="1:13" x14ac:dyDescent="0.2">
      <c r="A67" s="13"/>
      <c r="B67" s="13"/>
      <c r="C67" s="16" t="s">
        <v>13</v>
      </c>
      <c r="D67" s="33">
        <f t="shared" ref="D67:M67" si="38">ROUND(D63/2756,2)</f>
        <v>15.59</v>
      </c>
      <c r="E67" s="33">
        <f t="shared" si="38"/>
        <v>16.11</v>
      </c>
      <c r="F67" s="33">
        <f t="shared" si="38"/>
        <v>16.63</v>
      </c>
      <c r="G67" s="33">
        <f t="shared" si="38"/>
        <v>17.149999999999999</v>
      </c>
      <c r="H67" s="33">
        <f t="shared" si="38"/>
        <v>17.670000000000002</v>
      </c>
      <c r="I67" s="33">
        <f t="shared" si="38"/>
        <v>18.18</v>
      </c>
      <c r="J67" s="33">
        <f t="shared" si="38"/>
        <v>18.7</v>
      </c>
      <c r="K67" s="33">
        <f t="shared" si="38"/>
        <v>19.22</v>
      </c>
      <c r="L67" s="33">
        <f t="shared" si="38"/>
        <v>19.739999999999998</v>
      </c>
      <c r="M67" s="33">
        <f t="shared" si="38"/>
        <v>20.260000000000002</v>
      </c>
    </row>
    <row r="68" spans="1:13" x14ac:dyDescent="0.2">
      <c r="A68" s="13" t="s">
        <v>15</v>
      </c>
      <c r="B68" s="19">
        <f>($G$3-53)*2</f>
        <v>14</v>
      </c>
      <c r="C68" s="16" t="s">
        <v>42</v>
      </c>
      <c r="D68" s="33">
        <f t="shared" ref="D68:M68" si="39">D69*$B$12</f>
        <v>327.46000000000004</v>
      </c>
      <c r="E68" s="33">
        <f t="shared" si="39"/>
        <v>338.38</v>
      </c>
      <c r="F68" s="33">
        <f t="shared" si="39"/>
        <v>349.3</v>
      </c>
      <c r="G68" s="33">
        <f t="shared" si="39"/>
        <v>360.22</v>
      </c>
      <c r="H68" s="33">
        <f t="shared" si="39"/>
        <v>371.14000000000004</v>
      </c>
      <c r="I68" s="33">
        <f t="shared" si="39"/>
        <v>381.78</v>
      </c>
      <c r="J68" s="33">
        <f t="shared" si="39"/>
        <v>392.7</v>
      </c>
      <c r="K68" s="33">
        <f t="shared" si="39"/>
        <v>403.62</v>
      </c>
      <c r="L68" s="33">
        <f t="shared" si="39"/>
        <v>414.53999999999996</v>
      </c>
      <c r="M68" s="33">
        <f t="shared" si="39"/>
        <v>425.46000000000004</v>
      </c>
    </row>
    <row r="69" spans="1:13" x14ac:dyDescent="0.2">
      <c r="A69" s="13"/>
      <c r="B69" s="13"/>
      <c r="C69" s="16" t="s">
        <v>14</v>
      </c>
      <c r="D69" s="17">
        <f t="shared" ref="D69:M69" si="40">IF(ROUND(D67*1.5,2)&lt;$G$149,ROUND(D67*1.5,2),IF($G$149&lt;D67,D67,$G$149))</f>
        <v>23.39</v>
      </c>
      <c r="E69" s="17">
        <f t="shared" si="40"/>
        <v>24.17</v>
      </c>
      <c r="F69" s="17">
        <f t="shared" si="40"/>
        <v>24.95</v>
      </c>
      <c r="G69" s="17">
        <f t="shared" si="40"/>
        <v>25.73</v>
      </c>
      <c r="H69" s="17">
        <f t="shared" si="40"/>
        <v>26.51</v>
      </c>
      <c r="I69" s="17">
        <f t="shared" si="40"/>
        <v>27.27</v>
      </c>
      <c r="J69" s="17">
        <f t="shared" si="40"/>
        <v>28.05</v>
      </c>
      <c r="K69" s="17">
        <f t="shared" si="40"/>
        <v>28.83</v>
      </c>
      <c r="L69" s="17">
        <f t="shared" si="40"/>
        <v>29.61</v>
      </c>
      <c r="M69" s="17">
        <f t="shared" si="40"/>
        <v>30.39</v>
      </c>
    </row>
    <row r="70" spans="1:13" s="64" customFormat="1" x14ac:dyDescent="0.2">
      <c r="A70" s="63"/>
      <c r="B70" s="63"/>
      <c r="C70" s="32" t="s">
        <v>46</v>
      </c>
      <c r="D70" s="17">
        <f>(ROUND(D65*'Start Page'!$F$33,2)*80)+(ROUND(D67*'Start Page'!$F$33,2)*($B$15-80))</f>
        <v>0</v>
      </c>
      <c r="E70" s="17">
        <f>(ROUND(E65*'Start Page'!$F$33,2)*80)+(ROUND(E67*'Start Page'!$F$33,2)*($B$15-80))</f>
        <v>0</v>
      </c>
      <c r="F70" s="17">
        <f>(ROUND(F65*'Start Page'!$F$33,2)*80)+(ROUND(F67*'Start Page'!$F$33,2)*($B$15-80))</f>
        <v>0</v>
      </c>
      <c r="G70" s="17">
        <f>(ROUND(G65*'Start Page'!$F$33,2)*80)+(ROUND(G67*'Start Page'!$F$33,2)*($B$15-80))</f>
        <v>0</v>
      </c>
      <c r="H70" s="17">
        <f>(ROUND(H65*'Start Page'!$F$33,2)*80)+(ROUND(H67*'Start Page'!$F$33,2)*($B$15-80))</f>
        <v>0</v>
      </c>
      <c r="I70" s="17">
        <f>(ROUND(I65*'Start Page'!$F$33,2)*80)+(ROUND(I67*'Start Page'!$F$33,2)*($B$15-80))</f>
        <v>0</v>
      </c>
      <c r="J70" s="17">
        <f>(ROUND(J65*'Start Page'!$F$33,2)*80)+(ROUND(J67*'Start Page'!$F$33,2)*($B$15-80))</f>
        <v>0</v>
      </c>
      <c r="K70" s="17">
        <f>(ROUND(K65*'Start Page'!$F$33,2)*80)+(ROUND(K67*'Start Page'!$F$33,2)*($B$15-80))</f>
        <v>0</v>
      </c>
      <c r="L70" s="17">
        <f>(ROUND(L65*'Start Page'!$F$33,2)*80)+(ROUND(L67*'Start Page'!$F$33,2)*($B$15-80))</f>
        <v>0</v>
      </c>
      <c r="M70" s="17">
        <f>(ROUND(M65*'Start Page'!$F$33,2)*80)+(ROUND(M67*'Start Page'!$F$33,2)*($B$15-80))</f>
        <v>0</v>
      </c>
    </row>
    <row r="71" spans="1:13" x14ac:dyDescent="0.2">
      <c r="A71" s="13"/>
      <c r="B71" s="13">
        <f>B64+B66+B68</f>
        <v>120</v>
      </c>
      <c r="C71" s="20" t="s">
        <v>17</v>
      </c>
      <c r="D71" s="34">
        <f t="shared" ref="D71:M71" si="41">D64+D66+D68+D70</f>
        <v>2379.1999999999998</v>
      </c>
      <c r="E71" s="34">
        <f t="shared" si="41"/>
        <v>2458.84</v>
      </c>
      <c r="F71" s="34">
        <f t="shared" si="41"/>
        <v>2538.4800000000005</v>
      </c>
      <c r="G71" s="34">
        <f t="shared" si="41"/>
        <v>2617.3199999999997</v>
      </c>
      <c r="H71" s="34">
        <f t="shared" si="41"/>
        <v>2696.9599999999996</v>
      </c>
      <c r="I71" s="34">
        <f t="shared" si="41"/>
        <v>2775.26</v>
      </c>
      <c r="J71" s="34">
        <f t="shared" si="41"/>
        <v>2854.8999999999996</v>
      </c>
      <c r="K71" s="34">
        <f t="shared" si="41"/>
        <v>2934.54</v>
      </c>
      <c r="L71" s="34">
        <f t="shared" si="41"/>
        <v>3013.38</v>
      </c>
      <c r="M71" s="34">
        <f t="shared" si="41"/>
        <v>3093.0200000000004</v>
      </c>
    </row>
    <row r="72" spans="1:13" x14ac:dyDescent="0.2">
      <c r="A72" s="13"/>
      <c r="B72" s="13"/>
      <c r="C72" s="20" t="s">
        <v>33</v>
      </c>
      <c r="D72" s="34">
        <f>D71*'Start Page'!$C$41</f>
        <v>61859.199999999997</v>
      </c>
      <c r="E72" s="34">
        <f>E71*'Start Page'!$C$41</f>
        <v>63929.840000000004</v>
      </c>
      <c r="F72" s="34">
        <f>F71*'Start Page'!$C$41</f>
        <v>66000.48000000001</v>
      </c>
      <c r="G72" s="34">
        <f>G71*'Start Page'!$C$41</f>
        <v>68050.319999999992</v>
      </c>
      <c r="H72" s="34">
        <f>H71*'Start Page'!$C$41</f>
        <v>70120.959999999992</v>
      </c>
      <c r="I72" s="34">
        <f>I71*'Start Page'!$C$41</f>
        <v>72156.760000000009</v>
      </c>
      <c r="J72" s="34">
        <f>J71*'Start Page'!$C$41</f>
        <v>74227.399999999994</v>
      </c>
      <c r="K72" s="34">
        <f>K71*'Start Page'!$C$41</f>
        <v>76298.039999999994</v>
      </c>
      <c r="L72" s="34">
        <f>L71*'Start Page'!$C$41</f>
        <v>78347.88</v>
      </c>
      <c r="M72" s="34">
        <f>M71*'Start Page'!$C$41</f>
        <v>80418.520000000019</v>
      </c>
    </row>
    <row r="73" spans="1:13" s="36" customFormat="1" x14ac:dyDescent="0.2">
      <c r="A73" s="22"/>
      <c r="B73" s="22"/>
      <c r="C73" s="23" t="s">
        <v>105</v>
      </c>
      <c r="D73" s="35">
        <f>((D65*80)+(D67*($B$15-80)))*'Start Page'!$C$41</f>
        <v>59020</v>
      </c>
      <c r="E73" s="35">
        <f>((E65*80)+(E67*($B$15-80)))*'Start Page'!$C$41</f>
        <v>60996</v>
      </c>
      <c r="F73" s="35">
        <f>((F65*80)+(F67*($B$15-80)))*'Start Page'!$C$41</f>
        <v>62972</v>
      </c>
      <c r="G73" s="35">
        <f>((G65*80)+(G67*($B$15-80)))*'Start Page'!$C$41</f>
        <v>64927.199999999997</v>
      </c>
      <c r="H73" s="35">
        <f>((H65*80)+(H67*($B$15-80)))*'Start Page'!$C$41</f>
        <v>66903.199999999997</v>
      </c>
      <c r="I73" s="35">
        <f>((I65*80)+(I67*($B$15-80)))*'Start Page'!$C$41</f>
        <v>68848</v>
      </c>
      <c r="J73" s="35">
        <f>((J65*80)+(J67*($B$15-80)))*'Start Page'!$C$41</f>
        <v>70824</v>
      </c>
      <c r="K73" s="35">
        <f>((K65*80)+(K67*($B$15-80)))*'Start Page'!$C$41</f>
        <v>72800</v>
      </c>
      <c r="L73" s="35">
        <f>((L65*80)+(L67*($B$15-80)))*'Start Page'!$C$41</f>
        <v>74755.199999999997</v>
      </c>
      <c r="M73" s="124">
        <f>((M65*80)+(M67*($B$15-80)))*'Start Page'!$C$41</f>
        <v>76731.200000000012</v>
      </c>
    </row>
    <row r="74" spans="1:13" x14ac:dyDescent="0.2">
      <c r="A74" s="26"/>
      <c r="B74" s="26"/>
      <c r="C74" s="14" t="s">
        <v>30</v>
      </c>
      <c r="D74" s="121">
        <f>'GS Pay Scale'!B15</f>
        <v>47448</v>
      </c>
      <c r="E74" s="121">
        <f>'GS Pay Scale'!C15</f>
        <v>49029</v>
      </c>
      <c r="F74" s="121">
        <f>'GS Pay Scale'!D15</f>
        <v>50611</v>
      </c>
      <c r="G74" s="121">
        <f>'GS Pay Scale'!E15</f>
        <v>52192</v>
      </c>
      <c r="H74" s="121">
        <f>'GS Pay Scale'!F15</f>
        <v>53773</v>
      </c>
      <c r="I74" s="121">
        <f>'GS Pay Scale'!G15</f>
        <v>55354</v>
      </c>
      <c r="J74" s="121">
        <f>'GS Pay Scale'!H15</f>
        <v>56935</v>
      </c>
      <c r="K74" s="121">
        <f>'GS Pay Scale'!I15</f>
        <v>58516</v>
      </c>
      <c r="L74" s="121">
        <f>'GS Pay Scale'!J15</f>
        <v>60097</v>
      </c>
      <c r="M74" s="121">
        <f>'GS Pay Scale'!K15</f>
        <v>61678</v>
      </c>
    </row>
    <row r="75" spans="1:13" x14ac:dyDescent="0.2">
      <c r="A75" s="13"/>
      <c r="B75" s="13">
        <v>80</v>
      </c>
      <c r="C75" s="32" t="s">
        <v>44</v>
      </c>
      <c r="D75" s="121">
        <f t="shared" ref="D75:M75" si="42">D76*80</f>
        <v>1819.1999999999998</v>
      </c>
      <c r="E75" s="121">
        <f t="shared" si="42"/>
        <v>1879.1999999999998</v>
      </c>
      <c r="F75" s="121">
        <f t="shared" si="42"/>
        <v>1940</v>
      </c>
      <c r="G75" s="121">
        <f t="shared" si="42"/>
        <v>2000.8000000000002</v>
      </c>
      <c r="H75" s="121">
        <f t="shared" si="42"/>
        <v>2061.6</v>
      </c>
      <c r="I75" s="121">
        <f t="shared" si="42"/>
        <v>2121.6</v>
      </c>
      <c r="J75" s="121">
        <f t="shared" si="42"/>
        <v>2182.4</v>
      </c>
      <c r="K75" s="121">
        <f t="shared" si="42"/>
        <v>2243.1999999999998</v>
      </c>
      <c r="L75" s="121">
        <f t="shared" si="42"/>
        <v>2304</v>
      </c>
      <c r="M75" s="121">
        <f t="shared" si="42"/>
        <v>2364</v>
      </c>
    </row>
    <row r="76" spans="1:13" x14ac:dyDescent="0.2">
      <c r="A76" s="13"/>
      <c r="B76" s="13"/>
      <c r="C76" s="32" t="s">
        <v>20</v>
      </c>
      <c r="D76" s="33">
        <f t="shared" ref="D76:M76" si="43">ROUND(D74/2087,2)</f>
        <v>22.74</v>
      </c>
      <c r="E76" s="33">
        <f t="shared" si="43"/>
        <v>23.49</v>
      </c>
      <c r="F76" s="33">
        <f t="shared" si="43"/>
        <v>24.25</v>
      </c>
      <c r="G76" s="33">
        <f t="shared" si="43"/>
        <v>25.01</v>
      </c>
      <c r="H76" s="33">
        <f t="shared" si="43"/>
        <v>25.77</v>
      </c>
      <c r="I76" s="33">
        <f t="shared" si="43"/>
        <v>26.52</v>
      </c>
      <c r="J76" s="33">
        <f t="shared" si="43"/>
        <v>27.28</v>
      </c>
      <c r="K76" s="33">
        <f t="shared" si="43"/>
        <v>28.04</v>
      </c>
      <c r="L76" s="33">
        <f t="shared" si="43"/>
        <v>28.8</v>
      </c>
      <c r="M76" s="33">
        <f t="shared" si="43"/>
        <v>29.55</v>
      </c>
    </row>
    <row r="77" spans="1:13" x14ac:dyDescent="0.2">
      <c r="A77" s="13"/>
      <c r="B77" s="13">
        <v>26</v>
      </c>
      <c r="C77" s="16" t="s">
        <v>41</v>
      </c>
      <c r="D77" s="33">
        <f t="shared" ref="D77:M77" si="44">D78*26</f>
        <v>447.71999999999997</v>
      </c>
      <c r="E77" s="33">
        <f t="shared" si="44"/>
        <v>462.53999999999996</v>
      </c>
      <c r="F77" s="33">
        <f t="shared" si="44"/>
        <v>477.36</v>
      </c>
      <c r="G77" s="33">
        <f t="shared" si="44"/>
        <v>492.44000000000005</v>
      </c>
      <c r="H77" s="33">
        <f t="shared" si="44"/>
        <v>507.26000000000005</v>
      </c>
      <c r="I77" s="33">
        <f t="shared" si="44"/>
        <v>522.07999999999993</v>
      </c>
      <c r="J77" s="33">
        <f t="shared" si="44"/>
        <v>537.16</v>
      </c>
      <c r="K77" s="33">
        <f t="shared" si="44"/>
        <v>551.98</v>
      </c>
      <c r="L77" s="33">
        <f t="shared" si="44"/>
        <v>567.05999999999995</v>
      </c>
      <c r="M77" s="33">
        <f t="shared" si="44"/>
        <v>581.88</v>
      </c>
    </row>
    <row r="78" spans="1:13" x14ac:dyDescent="0.2">
      <c r="A78" s="13"/>
      <c r="B78" s="13"/>
      <c r="C78" s="16" t="s">
        <v>13</v>
      </c>
      <c r="D78" s="33">
        <f t="shared" ref="D78:M78" si="45">ROUND(D74/2756,2)</f>
        <v>17.22</v>
      </c>
      <c r="E78" s="33">
        <f t="shared" si="45"/>
        <v>17.79</v>
      </c>
      <c r="F78" s="33">
        <f t="shared" si="45"/>
        <v>18.36</v>
      </c>
      <c r="G78" s="33">
        <f t="shared" si="45"/>
        <v>18.940000000000001</v>
      </c>
      <c r="H78" s="33">
        <f t="shared" si="45"/>
        <v>19.510000000000002</v>
      </c>
      <c r="I78" s="33">
        <f t="shared" si="45"/>
        <v>20.079999999999998</v>
      </c>
      <c r="J78" s="33">
        <f t="shared" si="45"/>
        <v>20.66</v>
      </c>
      <c r="K78" s="33">
        <f t="shared" si="45"/>
        <v>21.23</v>
      </c>
      <c r="L78" s="33">
        <f t="shared" si="45"/>
        <v>21.81</v>
      </c>
      <c r="M78" s="33">
        <f t="shared" si="45"/>
        <v>22.38</v>
      </c>
    </row>
    <row r="79" spans="1:13" x14ac:dyDescent="0.2">
      <c r="A79" s="13" t="s">
        <v>21</v>
      </c>
      <c r="B79" s="19">
        <f>($G$3-53)*2</f>
        <v>14</v>
      </c>
      <c r="C79" s="16" t="s">
        <v>42</v>
      </c>
      <c r="D79" s="33">
        <f t="shared" ref="D79:M79" si="46">D80*$B$12</f>
        <v>361.62</v>
      </c>
      <c r="E79" s="33">
        <f t="shared" si="46"/>
        <v>373.66</v>
      </c>
      <c r="F79" s="33">
        <f t="shared" si="46"/>
        <v>385.56</v>
      </c>
      <c r="G79" s="33">
        <f t="shared" si="46"/>
        <v>397.74</v>
      </c>
      <c r="H79" s="33">
        <f t="shared" si="46"/>
        <v>409.78</v>
      </c>
      <c r="I79" s="33">
        <f t="shared" si="46"/>
        <v>421.68</v>
      </c>
      <c r="J79" s="33">
        <f t="shared" si="46"/>
        <v>433.85999999999996</v>
      </c>
      <c r="K79" s="33">
        <f t="shared" si="46"/>
        <v>445.90000000000003</v>
      </c>
      <c r="L79" s="33">
        <f t="shared" si="46"/>
        <v>458.08</v>
      </c>
      <c r="M79" s="33">
        <f t="shared" si="46"/>
        <v>469.98</v>
      </c>
    </row>
    <row r="80" spans="1:13" x14ac:dyDescent="0.2">
      <c r="A80" s="13"/>
      <c r="B80" s="13"/>
      <c r="C80" s="16" t="s">
        <v>14</v>
      </c>
      <c r="D80" s="17">
        <f t="shared" ref="D80:M80" si="47">IF(ROUND(D78*1.5,2)&lt;$G$149,ROUND(D78*1.5,2),IF($G$149&lt;D78,D78,$G$149))</f>
        <v>25.83</v>
      </c>
      <c r="E80" s="17">
        <f t="shared" si="47"/>
        <v>26.69</v>
      </c>
      <c r="F80" s="17">
        <f t="shared" si="47"/>
        <v>27.54</v>
      </c>
      <c r="G80" s="17">
        <f t="shared" si="47"/>
        <v>28.41</v>
      </c>
      <c r="H80" s="17">
        <f t="shared" si="47"/>
        <v>29.27</v>
      </c>
      <c r="I80" s="17">
        <f t="shared" si="47"/>
        <v>30.12</v>
      </c>
      <c r="J80" s="17">
        <f t="shared" si="47"/>
        <v>30.99</v>
      </c>
      <c r="K80" s="17">
        <f t="shared" si="47"/>
        <v>31.85</v>
      </c>
      <c r="L80" s="17">
        <f t="shared" si="47"/>
        <v>32.72</v>
      </c>
      <c r="M80" s="17">
        <f t="shared" si="47"/>
        <v>33.57</v>
      </c>
    </row>
    <row r="81" spans="1:13" s="64" customFormat="1" x14ac:dyDescent="0.2">
      <c r="A81" s="63"/>
      <c r="B81" s="63"/>
      <c r="C81" s="32" t="s">
        <v>46</v>
      </c>
      <c r="D81" s="17">
        <f>(ROUND(D76*'Start Page'!$F$33,2)*80)+(ROUND(D78*'Start Page'!$F$33,2)*($B$15-80))</f>
        <v>0</v>
      </c>
      <c r="E81" s="17">
        <f>(ROUND(E76*'Start Page'!$F$33,2)*80)+(ROUND(E78*'Start Page'!$F$33,2)*($B$15-80))</f>
        <v>0</v>
      </c>
      <c r="F81" s="17">
        <f>(ROUND(F76*'Start Page'!$F$33,2)*80)+(ROUND(F78*'Start Page'!$F$33,2)*($B$15-80))</f>
        <v>0</v>
      </c>
      <c r="G81" s="17">
        <f>(ROUND(G76*'Start Page'!$F$33,2)*80)+(ROUND(G78*'Start Page'!$F$33,2)*($B$15-80))</f>
        <v>0</v>
      </c>
      <c r="H81" s="17">
        <f>(ROUND(H76*'Start Page'!$F$33,2)*80)+(ROUND(H78*'Start Page'!$F$33,2)*($B$15-80))</f>
        <v>0</v>
      </c>
      <c r="I81" s="17">
        <f>(ROUND(I76*'Start Page'!$F$33,2)*80)+(ROUND(I78*'Start Page'!$F$33,2)*($B$15-80))</f>
        <v>0</v>
      </c>
      <c r="J81" s="17">
        <f>(ROUND(J76*'Start Page'!$F$33,2)*80)+(ROUND(J78*'Start Page'!$F$33,2)*($B$15-80))</f>
        <v>0</v>
      </c>
      <c r="K81" s="17">
        <f>(ROUND(K76*'Start Page'!$F$33,2)*80)+(ROUND(K78*'Start Page'!$F$33,2)*($B$15-80))</f>
        <v>0</v>
      </c>
      <c r="L81" s="17">
        <f>(ROUND(L76*'Start Page'!$F$33,2)*80)+(ROUND(L78*'Start Page'!$F$33,2)*($B$15-80))</f>
        <v>0</v>
      </c>
      <c r="M81" s="17">
        <f>(ROUND(M76*'Start Page'!$F$33,2)*80)+(ROUND(M78*'Start Page'!$F$33,2)*($B$15-80))</f>
        <v>0</v>
      </c>
    </row>
    <row r="82" spans="1:13" x14ac:dyDescent="0.2">
      <c r="A82" s="13"/>
      <c r="B82" s="13">
        <f>B75+B77+B79</f>
        <v>120</v>
      </c>
      <c r="C82" s="20" t="s">
        <v>17</v>
      </c>
      <c r="D82" s="34">
        <f t="shared" ref="D82:M82" si="48">D75+D77+D79+D81</f>
        <v>2628.5399999999995</v>
      </c>
      <c r="E82" s="34">
        <f t="shared" si="48"/>
        <v>2715.3999999999996</v>
      </c>
      <c r="F82" s="34">
        <f t="shared" si="48"/>
        <v>2802.92</v>
      </c>
      <c r="G82" s="34">
        <f t="shared" si="48"/>
        <v>2890.9800000000005</v>
      </c>
      <c r="H82" s="34">
        <f t="shared" si="48"/>
        <v>2978.6400000000003</v>
      </c>
      <c r="I82" s="34">
        <f t="shared" si="48"/>
        <v>3065.3599999999997</v>
      </c>
      <c r="J82" s="34">
        <f t="shared" si="48"/>
        <v>3153.42</v>
      </c>
      <c r="K82" s="34">
        <f t="shared" si="48"/>
        <v>3241.08</v>
      </c>
      <c r="L82" s="34">
        <f t="shared" si="48"/>
        <v>3329.14</v>
      </c>
      <c r="M82" s="34">
        <f t="shared" si="48"/>
        <v>3415.86</v>
      </c>
    </row>
    <row r="83" spans="1:13" x14ac:dyDescent="0.2">
      <c r="A83" s="13"/>
      <c r="B83" s="13"/>
      <c r="C83" s="20" t="s">
        <v>33</v>
      </c>
      <c r="D83" s="34">
        <f>D82*'Start Page'!$C$41</f>
        <v>68342.039999999994</v>
      </c>
      <c r="E83" s="34">
        <f>E82*'Start Page'!$C$41</f>
        <v>70600.399999999994</v>
      </c>
      <c r="F83" s="34">
        <f>F82*'Start Page'!$C$41</f>
        <v>72875.92</v>
      </c>
      <c r="G83" s="34">
        <f>G82*'Start Page'!$C$41</f>
        <v>75165.48000000001</v>
      </c>
      <c r="H83" s="34">
        <f>H82*'Start Page'!$C$41</f>
        <v>77444.640000000014</v>
      </c>
      <c r="I83" s="34">
        <f>I82*'Start Page'!$C$41</f>
        <v>79699.359999999986</v>
      </c>
      <c r="J83" s="34">
        <f>J82*'Start Page'!$C$41</f>
        <v>81988.92</v>
      </c>
      <c r="K83" s="34">
        <f>K82*'Start Page'!$C$41</f>
        <v>84268.08</v>
      </c>
      <c r="L83" s="34">
        <f>L82*'Start Page'!$C$41</f>
        <v>86557.64</v>
      </c>
      <c r="M83" s="34">
        <f>M82*'Start Page'!$C$41</f>
        <v>88812.36</v>
      </c>
    </row>
    <row r="84" spans="1:13" s="36" customFormat="1" x14ac:dyDescent="0.2">
      <c r="A84" s="22"/>
      <c r="B84" s="22"/>
      <c r="C84" s="23" t="s">
        <v>105</v>
      </c>
      <c r="D84" s="35">
        <f>((D76*80)+(D78*($B$15-80)))*'Start Page'!$C$41</f>
        <v>65208</v>
      </c>
      <c r="E84" s="35">
        <f>((E76*80)+(E78*($B$15-80)))*'Start Page'!$C$41</f>
        <v>67360.799999999988</v>
      </c>
      <c r="F84" s="35">
        <f>((F76*80)+(F78*($B$15-80)))*'Start Page'!$C$41</f>
        <v>69534.400000000009</v>
      </c>
      <c r="G84" s="35">
        <f>((G76*80)+(G78*($B$15-80)))*'Start Page'!$C$41</f>
        <v>71718.400000000009</v>
      </c>
      <c r="H84" s="35">
        <f>((H76*80)+(H78*($B$15-80)))*'Start Page'!$C$41</f>
        <v>73892</v>
      </c>
      <c r="I84" s="35">
        <f>((I76*80)+(I78*($B$15-80)))*'Start Page'!$C$41</f>
        <v>76044.799999999988</v>
      </c>
      <c r="J84" s="35">
        <f>((J76*80)+(J78*($B$15-80)))*'Start Page'!$C$41</f>
        <v>78228.800000000003</v>
      </c>
      <c r="K84" s="35">
        <f>((K76*80)+(K78*($B$15-80)))*'Start Page'!$C$41</f>
        <v>80402.399999999994</v>
      </c>
      <c r="L84" s="35">
        <f>((L76*80)+(L78*($B$15-80)))*'Start Page'!$C$41</f>
        <v>82586.400000000009</v>
      </c>
      <c r="M84" s="124">
        <f>((M76*80)+(M78*($B$15-80)))*'Start Page'!$C$41</f>
        <v>84739.199999999997</v>
      </c>
    </row>
    <row r="85" spans="1:13" x14ac:dyDescent="0.2">
      <c r="A85" s="26"/>
      <c r="B85" s="26"/>
      <c r="C85" s="14" t="s">
        <v>30</v>
      </c>
      <c r="D85" s="121">
        <f>'GS Pay Scale'!B16</f>
        <v>52252</v>
      </c>
      <c r="E85" s="121">
        <f>'GS Pay Scale'!C16</f>
        <v>53994</v>
      </c>
      <c r="F85" s="121">
        <f>'GS Pay Scale'!D16</f>
        <v>55736</v>
      </c>
      <c r="G85" s="121">
        <f>'GS Pay Scale'!E16</f>
        <v>57478</v>
      </c>
      <c r="H85" s="121">
        <f>'GS Pay Scale'!F16</f>
        <v>59221</v>
      </c>
      <c r="I85" s="121">
        <f>'GS Pay Scale'!G16</f>
        <v>60963</v>
      </c>
      <c r="J85" s="121">
        <f>'GS Pay Scale'!H16</f>
        <v>62705</v>
      </c>
      <c r="K85" s="121">
        <f>'GS Pay Scale'!I16</f>
        <v>64447</v>
      </c>
      <c r="L85" s="121">
        <f>'GS Pay Scale'!J16</f>
        <v>66189</v>
      </c>
      <c r="M85" s="121">
        <f>'GS Pay Scale'!K16</f>
        <v>67931</v>
      </c>
    </row>
    <row r="86" spans="1:13" x14ac:dyDescent="0.2">
      <c r="A86" s="13"/>
      <c r="B86" s="13">
        <v>80</v>
      </c>
      <c r="C86" s="32" t="s">
        <v>44</v>
      </c>
      <c r="D86" s="121">
        <f t="shared" ref="D86:M86" si="49">D87*80</f>
        <v>2003.1999999999998</v>
      </c>
      <c r="E86" s="121">
        <f t="shared" si="49"/>
        <v>2069.6</v>
      </c>
      <c r="F86" s="121">
        <f t="shared" si="49"/>
        <v>2136.8000000000002</v>
      </c>
      <c r="G86" s="121">
        <f t="shared" si="49"/>
        <v>2203.1999999999998</v>
      </c>
      <c r="H86" s="121">
        <f t="shared" si="49"/>
        <v>2270.4</v>
      </c>
      <c r="I86" s="121">
        <f t="shared" si="49"/>
        <v>2336.8000000000002</v>
      </c>
      <c r="J86" s="121">
        <f t="shared" si="49"/>
        <v>2404</v>
      </c>
      <c r="K86" s="121">
        <f t="shared" si="49"/>
        <v>2470.4</v>
      </c>
      <c r="L86" s="121">
        <f t="shared" si="49"/>
        <v>2536.8000000000002</v>
      </c>
      <c r="M86" s="121">
        <f t="shared" si="49"/>
        <v>2604</v>
      </c>
    </row>
    <row r="87" spans="1:13" x14ac:dyDescent="0.2">
      <c r="A87" s="13"/>
      <c r="B87" s="13"/>
      <c r="C87" s="32" t="s">
        <v>20</v>
      </c>
      <c r="D87" s="33">
        <f t="shared" ref="D87:M87" si="50">ROUND(D85/2087,2)</f>
        <v>25.04</v>
      </c>
      <c r="E87" s="33">
        <f t="shared" si="50"/>
        <v>25.87</v>
      </c>
      <c r="F87" s="33">
        <f t="shared" si="50"/>
        <v>26.71</v>
      </c>
      <c r="G87" s="33">
        <f t="shared" si="50"/>
        <v>27.54</v>
      </c>
      <c r="H87" s="33">
        <f t="shared" si="50"/>
        <v>28.38</v>
      </c>
      <c r="I87" s="33">
        <f t="shared" si="50"/>
        <v>29.21</v>
      </c>
      <c r="J87" s="33">
        <f t="shared" si="50"/>
        <v>30.05</v>
      </c>
      <c r="K87" s="33">
        <f t="shared" si="50"/>
        <v>30.88</v>
      </c>
      <c r="L87" s="33">
        <f t="shared" si="50"/>
        <v>31.71</v>
      </c>
      <c r="M87" s="33">
        <f t="shared" si="50"/>
        <v>32.549999999999997</v>
      </c>
    </row>
    <row r="88" spans="1:13" x14ac:dyDescent="0.2">
      <c r="A88" s="13"/>
      <c r="B88" s="13">
        <v>26</v>
      </c>
      <c r="C88" s="16" t="s">
        <v>41</v>
      </c>
      <c r="D88" s="33">
        <f t="shared" ref="D88:M88" si="51">D89*26</f>
        <v>492.96000000000004</v>
      </c>
      <c r="E88" s="33">
        <f t="shared" si="51"/>
        <v>509.34</v>
      </c>
      <c r="F88" s="33">
        <f t="shared" si="51"/>
        <v>525.72</v>
      </c>
      <c r="G88" s="33">
        <f t="shared" si="51"/>
        <v>542.36</v>
      </c>
      <c r="H88" s="33">
        <f t="shared" si="51"/>
        <v>558.74</v>
      </c>
      <c r="I88" s="33">
        <f t="shared" si="51"/>
        <v>575.12</v>
      </c>
      <c r="J88" s="33">
        <f t="shared" si="51"/>
        <v>591.5</v>
      </c>
      <c r="K88" s="33">
        <f t="shared" si="51"/>
        <v>607.88</v>
      </c>
      <c r="L88" s="33">
        <f t="shared" si="51"/>
        <v>624.52</v>
      </c>
      <c r="M88" s="33">
        <f t="shared" si="51"/>
        <v>640.9</v>
      </c>
    </row>
    <row r="89" spans="1:13" x14ac:dyDescent="0.2">
      <c r="A89" s="13"/>
      <c r="B89" s="13"/>
      <c r="C89" s="16" t="s">
        <v>13</v>
      </c>
      <c r="D89" s="33">
        <f t="shared" ref="D89:M89" si="52">ROUND(D85/2756,2)</f>
        <v>18.96</v>
      </c>
      <c r="E89" s="33">
        <f t="shared" si="52"/>
        <v>19.59</v>
      </c>
      <c r="F89" s="33">
        <f t="shared" si="52"/>
        <v>20.22</v>
      </c>
      <c r="G89" s="33">
        <f t="shared" si="52"/>
        <v>20.86</v>
      </c>
      <c r="H89" s="33">
        <f t="shared" si="52"/>
        <v>21.49</v>
      </c>
      <c r="I89" s="33">
        <f t="shared" si="52"/>
        <v>22.12</v>
      </c>
      <c r="J89" s="33">
        <f t="shared" si="52"/>
        <v>22.75</v>
      </c>
      <c r="K89" s="33">
        <f t="shared" si="52"/>
        <v>23.38</v>
      </c>
      <c r="L89" s="33">
        <f t="shared" si="52"/>
        <v>24.02</v>
      </c>
      <c r="M89" s="33">
        <f t="shared" si="52"/>
        <v>24.65</v>
      </c>
    </row>
    <row r="90" spans="1:13" x14ac:dyDescent="0.2">
      <c r="A90" s="13" t="s">
        <v>25</v>
      </c>
      <c r="B90" s="19">
        <f>($G$3-53)*2</f>
        <v>14</v>
      </c>
      <c r="C90" s="16" t="s">
        <v>42</v>
      </c>
      <c r="D90" s="33">
        <f t="shared" ref="D90:M90" si="53">D91*$B$12</f>
        <v>398.16</v>
      </c>
      <c r="E90" s="33">
        <f t="shared" si="53"/>
        <v>411.46000000000004</v>
      </c>
      <c r="F90" s="33">
        <f t="shared" si="53"/>
        <v>424.62</v>
      </c>
      <c r="G90" s="33">
        <f t="shared" si="53"/>
        <v>438.06</v>
      </c>
      <c r="H90" s="33">
        <f t="shared" si="53"/>
        <v>451.36</v>
      </c>
      <c r="I90" s="33">
        <f t="shared" si="53"/>
        <v>464.52</v>
      </c>
      <c r="J90" s="33">
        <f t="shared" si="53"/>
        <v>477.82000000000005</v>
      </c>
      <c r="K90" s="33">
        <f t="shared" si="53"/>
        <v>490.98</v>
      </c>
      <c r="L90" s="33">
        <f t="shared" si="53"/>
        <v>504.42</v>
      </c>
      <c r="M90" s="33">
        <f t="shared" si="53"/>
        <v>517.71999999999991</v>
      </c>
    </row>
    <row r="91" spans="1:13" x14ac:dyDescent="0.2">
      <c r="A91" s="13"/>
      <c r="B91" s="13"/>
      <c r="C91" s="16" t="s">
        <v>14</v>
      </c>
      <c r="D91" s="17">
        <f t="shared" ref="D91:M91" si="54">IF(ROUND(D89*1.5,2)&lt;$G$149,ROUND(D89*1.5,2),IF($G$149&lt;D89,D89,$G$149))</f>
        <v>28.44</v>
      </c>
      <c r="E91" s="17">
        <f t="shared" si="54"/>
        <v>29.39</v>
      </c>
      <c r="F91" s="17">
        <f t="shared" si="54"/>
        <v>30.33</v>
      </c>
      <c r="G91" s="17">
        <f t="shared" si="54"/>
        <v>31.29</v>
      </c>
      <c r="H91" s="17">
        <f t="shared" si="54"/>
        <v>32.24</v>
      </c>
      <c r="I91" s="17">
        <f t="shared" si="54"/>
        <v>33.18</v>
      </c>
      <c r="J91" s="17">
        <f t="shared" si="54"/>
        <v>34.130000000000003</v>
      </c>
      <c r="K91" s="17">
        <f t="shared" si="54"/>
        <v>35.07</v>
      </c>
      <c r="L91" s="17">
        <f t="shared" si="54"/>
        <v>36.03</v>
      </c>
      <c r="M91" s="17">
        <f t="shared" si="54"/>
        <v>36.979999999999997</v>
      </c>
    </row>
    <row r="92" spans="1:13" s="64" customFormat="1" x14ac:dyDescent="0.2">
      <c r="A92" s="63"/>
      <c r="B92" s="63"/>
      <c r="C92" s="32" t="s">
        <v>46</v>
      </c>
      <c r="D92" s="17">
        <f>(ROUND(D87*'Start Page'!$F$33,2)*80)+(ROUND(D89*'Start Page'!$F$33,2)*($B$15-80))</f>
        <v>0</v>
      </c>
      <c r="E92" s="17">
        <f>(ROUND(E87*'Start Page'!$F$33,2)*80)+(ROUND(E89*'Start Page'!$F$33,2)*($B$15-80))</f>
        <v>0</v>
      </c>
      <c r="F92" s="17">
        <f>(ROUND(F87*'Start Page'!$F$33,2)*80)+(ROUND(F89*'Start Page'!$F$33,2)*($B$15-80))</f>
        <v>0</v>
      </c>
      <c r="G92" s="17">
        <f>(ROUND(G87*'Start Page'!$F$33,2)*80)+(ROUND(G89*'Start Page'!$F$33,2)*($B$15-80))</f>
        <v>0</v>
      </c>
      <c r="H92" s="17">
        <f>(ROUND(H87*'Start Page'!$F$33,2)*80)+(ROUND(H89*'Start Page'!$F$33,2)*($B$15-80))</f>
        <v>0</v>
      </c>
      <c r="I92" s="17">
        <f>(ROUND(I87*'Start Page'!$F$33,2)*80)+(ROUND(I89*'Start Page'!$F$33,2)*($B$15-80))</f>
        <v>0</v>
      </c>
      <c r="J92" s="17">
        <f>(ROUND(J87*'Start Page'!$F$33,2)*80)+(ROUND(J89*'Start Page'!$F$33,2)*($B$15-80))</f>
        <v>0</v>
      </c>
      <c r="K92" s="17">
        <f>(ROUND(K87*'Start Page'!$F$33,2)*80)+(ROUND(K89*'Start Page'!$F$33,2)*($B$15-80))</f>
        <v>0</v>
      </c>
      <c r="L92" s="17">
        <f>(ROUND(L87*'Start Page'!$F$33,2)*80)+(ROUND(L89*'Start Page'!$F$33,2)*($B$15-80))</f>
        <v>0</v>
      </c>
      <c r="M92" s="17">
        <f>(ROUND(M87*'Start Page'!$F$33,2)*80)+(ROUND(M89*'Start Page'!$F$33,2)*($B$15-80))</f>
        <v>0</v>
      </c>
    </row>
    <row r="93" spans="1:13" x14ac:dyDescent="0.2">
      <c r="A93" s="13"/>
      <c r="B93" s="13">
        <f>B86+B88+B90</f>
        <v>120</v>
      </c>
      <c r="C93" s="20" t="s">
        <v>17</v>
      </c>
      <c r="D93" s="34">
        <f t="shared" ref="D93:M93" si="55">D86+D88+D90+D92</f>
        <v>2894.3199999999997</v>
      </c>
      <c r="E93" s="34">
        <f t="shared" si="55"/>
        <v>2990.4</v>
      </c>
      <c r="F93" s="34">
        <f t="shared" si="55"/>
        <v>3087.1400000000003</v>
      </c>
      <c r="G93" s="34">
        <f t="shared" si="55"/>
        <v>3183.62</v>
      </c>
      <c r="H93" s="34">
        <f t="shared" si="55"/>
        <v>3280.5000000000005</v>
      </c>
      <c r="I93" s="34">
        <f t="shared" si="55"/>
        <v>3376.44</v>
      </c>
      <c r="J93" s="34">
        <f t="shared" si="55"/>
        <v>3473.32</v>
      </c>
      <c r="K93" s="34">
        <f t="shared" si="55"/>
        <v>3569.26</v>
      </c>
      <c r="L93" s="34">
        <f t="shared" si="55"/>
        <v>3665.7400000000002</v>
      </c>
      <c r="M93" s="34">
        <f t="shared" si="55"/>
        <v>3762.62</v>
      </c>
    </row>
    <row r="94" spans="1:13" x14ac:dyDescent="0.2">
      <c r="A94" s="13"/>
      <c r="B94" s="13"/>
      <c r="C94" s="20" t="s">
        <v>33</v>
      </c>
      <c r="D94" s="34">
        <f>D93*'Start Page'!$C$41</f>
        <v>75252.319999999992</v>
      </c>
      <c r="E94" s="34">
        <f>E93*'Start Page'!$C$41</f>
        <v>77750.400000000009</v>
      </c>
      <c r="F94" s="34">
        <f>F93*'Start Page'!$C$41</f>
        <v>80265.640000000014</v>
      </c>
      <c r="G94" s="34">
        <f>G93*'Start Page'!$C$41</f>
        <v>82774.12</v>
      </c>
      <c r="H94" s="34">
        <f>H93*'Start Page'!$C$41</f>
        <v>85293.000000000015</v>
      </c>
      <c r="I94" s="34">
        <f>I93*'Start Page'!$C$41</f>
        <v>87787.44</v>
      </c>
      <c r="J94" s="34">
        <f>J93*'Start Page'!$C$41</f>
        <v>90306.32</v>
      </c>
      <c r="K94" s="34">
        <f>K93*'Start Page'!$C$41</f>
        <v>92800.760000000009</v>
      </c>
      <c r="L94" s="34">
        <f>L93*'Start Page'!$C$41</f>
        <v>95309.24</v>
      </c>
      <c r="M94" s="34">
        <f>M93*'Start Page'!$C$41</f>
        <v>97828.12</v>
      </c>
    </row>
    <row r="95" spans="1:13" s="36" customFormat="1" x14ac:dyDescent="0.2">
      <c r="A95" s="22"/>
      <c r="B95" s="22"/>
      <c r="C95" s="23" t="s">
        <v>105</v>
      </c>
      <c r="D95" s="35">
        <f>((D87*80)+(D89*($B$15-80)))*'Start Page'!$C$41</f>
        <v>71801.599999999991</v>
      </c>
      <c r="E95" s="35">
        <f>((E87*80)+(E89*($B$15-80)))*'Start Page'!$C$41</f>
        <v>74183.199999999997</v>
      </c>
      <c r="F95" s="35">
        <f>((F87*80)+(F89*($B$15-80)))*'Start Page'!$C$41</f>
        <v>76585.600000000006</v>
      </c>
      <c r="G95" s="35">
        <f>((G87*80)+(G89*($B$15-80)))*'Start Page'!$C$41</f>
        <v>78977.599999999991</v>
      </c>
      <c r="H95" s="35">
        <f>((H87*80)+(H89*($B$15-80)))*'Start Page'!$C$41</f>
        <v>81380</v>
      </c>
      <c r="I95" s="35">
        <f>((I87*80)+(I89*($B$15-80)))*'Start Page'!$C$41</f>
        <v>83761.600000000006</v>
      </c>
      <c r="J95" s="35">
        <f>((J87*80)+(J89*($B$15-80)))*'Start Page'!$C$41</f>
        <v>86164</v>
      </c>
      <c r="K95" s="35">
        <f>((K87*80)+(K89*($B$15-80)))*'Start Page'!$C$41</f>
        <v>88545.599999999991</v>
      </c>
      <c r="L95" s="35">
        <f>((L87*80)+(L89*($B$15-80)))*'Start Page'!$C$41</f>
        <v>90937.600000000006</v>
      </c>
      <c r="M95" s="124">
        <f>((M87*80)+(M89*($B$15-80)))*'Start Page'!$C$41</f>
        <v>93340</v>
      </c>
    </row>
    <row r="96" spans="1:13" x14ac:dyDescent="0.2">
      <c r="A96" s="12" t="s">
        <v>0</v>
      </c>
      <c r="B96" s="12" t="s">
        <v>43</v>
      </c>
      <c r="C96" s="12" t="s">
        <v>1</v>
      </c>
      <c r="D96" s="12" t="s">
        <v>2</v>
      </c>
      <c r="E96" s="12" t="s">
        <v>3</v>
      </c>
      <c r="F96" s="12" t="s">
        <v>4</v>
      </c>
      <c r="G96" s="12" t="s">
        <v>5</v>
      </c>
      <c r="H96" s="12" t="s">
        <v>6</v>
      </c>
      <c r="I96" s="12" t="s">
        <v>7</v>
      </c>
      <c r="J96" s="12" t="s">
        <v>8</v>
      </c>
      <c r="K96" s="12" t="s">
        <v>9</v>
      </c>
      <c r="L96" s="12" t="s">
        <v>10</v>
      </c>
      <c r="M96" s="12" t="s">
        <v>11</v>
      </c>
    </row>
    <row r="97" spans="1:13" x14ac:dyDescent="0.2">
      <c r="A97" s="26"/>
      <c r="B97" s="26"/>
      <c r="C97" s="14" t="s">
        <v>30</v>
      </c>
      <c r="D97" s="121">
        <f>'GS Pay Scale'!B17</f>
        <v>57408</v>
      </c>
      <c r="E97" s="121">
        <f>'GS Pay Scale'!C17</f>
        <v>59321</v>
      </c>
      <c r="F97" s="121">
        <f>'GS Pay Scale'!D17</f>
        <v>61234</v>
      </c>
      <c r="G97" s="121">
        <f>'GS Pay Scale'!E17</f>
        <v>63148</v>
      </c>
      <c r="H97" s="121">
        <f>'GS Pay Scale'!F17</f>
        <v>65061</v>
      </c>
      <c r="I97" s="121">
        <f>'GS Pay Scale'!G17</f>
        <v>66974</v>
      </c>
      <c r="J97" s="121">
        <f>'GS Pay Scale'!H17</f>
        <v>68888</v>
      </c>
      <c r="K97" s="121">
        <f>'GS Pay Scale'!I17</f>
        <v>70801</v>
      </c>
      <c r="L97" s="121">
        <f>'GS Pay Scale'!J17</f>
        <v>72714</v>
      </c>
      <c r="M97" s="121">
        <f>'GS Pay Scale'!K17</f>
        <v>74628</v>
      </c>
    </row>
    <row r="98" spans="1:13" x14ac:dyDescent="0.2">
      <c r="A98" s="13"/>
      <c r="B98" s="13">
        <v>80</v>
      </c>
      <c r="C98" s="32" t="s">
        <v>44</v>
      </c>
      <c r="D98" s="121">
        <f t="shared" ref="D98:M98" si="56">D99*80</f>
        <v>2200.8000000000002</v>
      </c>
      <c r="E98" s="121">
        <f t="shared" si="56"/>
        <v>2273.6000000000004</v>
      </c>
      <c r="F98" s="121">
        <f t="shared" si="56"/>
        <v>2347.1999999999998</v>
      </c>
      <c r="G98" s="121">
        <f t="shared" si="56"/>
        <v>2420.8000000000002</v>
      </c>
      <c r="H98" s="121">
        <f t="shared" si="56"/>
        <v>2493.6000000000004</v>
      </c>
      <c r="I98" s="121">
        <f t="shared" si="56"/>
        <v>2567.2000000000003</v>
      </c>
      <c r="J98" s="121">
        <f t="shared" si="56"/>
        <v>2640.7999999999997</v>
      </c>
      <c r="K98" s="121">
        <f t="shared" si="56"/>
        <v>2713.6000000000004</v>
      </c>
      <c r="L98" s="121">
        <f t="shared" si="56"/>
        <v>2787.2000000000003</v>
      </c>
      <c r="M98" s="121">
        <f t="shared" si="56"/>
        <v>2860.7999999999997</v>
      </c>
    </row>
    <row r="99" spans="1:13" x14ac:dyDescent="0.2">
      <c r="A99" s="13"/>
      <c r="B99" s="13"/>
      <c r="C99" s="32" t="s">
        <v>20</v>
      </c>
      <c r="D99" s="33">
        <f>ROUND(D97/2087,2)</f>
        <v>27.51</v>
      </c>
      <c r="E99" s="33">
        <f t="shared" ref="E99:M99" si="57">ROUND(E97/2087,2)</f>
        <v>28.42</v>
      </c>
      <c r="F99" s="33">
        <f t="shared" si="57"/>
        <v>29.34</v>
      </c>
      <c r="G99" s="33">
        <f t="shared" si="57"/>
        <v>30.26</v>
      </c>
      <c r="H99" s="33">
        <f t="shared" si="57"/>
        <v>31.17</v>
      </c>
      <c r="I99" s="33">
        <f t="shared" si="57"/>
        <v>32.090000000000003</v>
      </c>
      <c r="J99" s="33">
        <f t="shared" si="57"/>
        <v>33.01</v>
      </c>
      <c r="K99" s="33">
        <f t="shared" si="57"/>
        <v>33.92</v>
      </c>
      <c r="L99" s="33">
        <f t="shared" si="57"/>
        <v>34.840000000000003</v>
      </c>
      <c r="M99" s="33">
        <f t="shared" si="57"/>
        <v>35.76</v>
      </c>
    </row>
    <row r="100" spans="1:13" x14ac:dyDescent="0.2">
      <c r="A100" s="13"/>
      <c r="B100" s="13">
        <v>26</v>
      </c>
      <c r="C100" s="16" t="s">
        <v>41</v>
      </c>
      <c r="D100" s="33">
        <f t="shared" ref="D100:M100" si="58">D101*26</f>
        <v>541.57999999999993</v>
      </c>
      <c r="E100" s="33">
        <f t="shared" si="58"/>
        <v>559.52</v>
      </c>
      <c r="F100" s="33">
        <f t="shared" si="58"/>
        <v>577.72</v>
      </c>
      <c r="G100" s="33">
        <f t="shared" si="58"/>
        <v>595.66</v>
      </c>
      <c r="H100" s="33">
        <f t="shared" si="58"/>
        <v>613.86</v>
      </c>
      <c r="I100" s="33">
        <f t="shared" si="58"/>
        <v>631.80000000000007</v>
      </c>
      <c r="J100" s="33">
        <f t="shared" si="58"/>
        <v>650</v>
      </c>
      <c r="K100" s="33">
        <f t="shared" si="58"/>
        <v>667.94</v>
      </c>
      <c r="L100" s="33">
        <f t="shared" si="58"/>
        <v>685.88</v>
      </c>
      <c r="M100" s="33">
        <f t="shared" si="58"/>
        <v>704.07999999999993</v>
      </c>
    </row>
    <row r="101" spans="1:13" x14ac:dyDescent="0.2">
      <c r="A101" s="13"/>
      <c r="B101" s="13"/>
      <c r="C101" s="16" t="s">
        <v>13</v>
      </c>
      <c r="D101" s="33">
        <f>ROUND(D97/2756,2)</f>
        <v>20.83</v>
      </c>
      <c r="E101" s="33">
        <f t="shared" ref="E101:M101" si="59">ROUND(E97/2756,2)</f>
        <v>21.52</v>
      </c>
      <c r="F101" s="33">
        <f t="shared" si="59"/>
        <v>22.22</v>
      </c>
      <c r="G101" s="33">
        <f t="shared" si="59"/>
        <v>22.91</v>
      </c>
      <c r="H101" s="33">
        <f t="shared" si="59"/>
        <v>23.61</v>
      </c>
      <c r="I101" s="33">
        <f t="shared" si="59"/>
        <v>24.3</v>
      </c>
      <c r="J101" s="33">
        <f t="shared" si="59"/>
        <v>25</v>
      </c>
      <c r="K101" s="33">
        <f t="shared" si="59"/>
        <v>25.69</v>
      </c>
      <c r="L101" s="33">
        <f t="shared" si="59"/>
        <v>26.38</v>
      </c>
      <c r="M101" s="33">
        <f t="shared" si="59"/>
        <v>27.08</v>
      </c>
    </row>
    <row r="102" spans="1:13" x14ac:dyDescent="0.2">
      <c r="A102" s="13" t="s">
        <v>16</v>
      </c>
      <c r="B102" s="19">
        <f>($G$3-53)*2</f>
        <v>14</v>
      </c>
      <c r="C102" s="16" t="s">
        <v>42</v>
      </c>
      <c r="D102" s="33">
        <f t="shared" ref="D102:M102" si="60">D103*$B$12</f>
        <v>437.5</v>
      </c>
      <c r="E102" s="33">
        <f t="shared" si="60"/>
        <v>451.92</v>
      </c>
      <c r="F102" s="33">
        <f t="shared" si="60"/>
        <v>466.62</v>
      </c>
      <c r="G102" s="33">
        <f t="shared" si="60"/>
        <v>481.17999999999995</v>
      </c>
      <c r="H102" s="33">
        <f t="shared" si="60"/>
        <v>495.88</v>
      </c>
      <c r="I102" s="33">
        <f t="shared" si="60"/>
        <v>510.30000000000007</v>
      </c>
      <c r="J102" s="33">
        <f t="shared" si="60"/>
        <v>525</v>
      </c>
      <c r="K102" s="33">
        <f t="shared" si="60"/>
        <v>525.84</v>
      </c>
      <c r="L102" s="33">
        <f t="shared" si="60"/>
        <v>525.84</v>
      </c>
      <c r="M102" s="33">
        <f t="shared" si="60"/>
        <v>525.84</v>
      </c>
    </row>
    <row r="103" spans="1:13" x14ac:dyDescent="0.2">
      <c r="A103" s="13"/>
      <c r="B103" s="13"/>
      <c r="C103" s="16" t="s">
        <v>14</v>
      </c>
      <c r="D103" s="17">
        <f>IF(ROUND(D101*1.5,2)&lt;$G$149,ROUND(D101*1.5,2),IF($G$149&lt;D101,D101,$G$149))</f>
        <v>31.25</v>
      </c>
      <c r="E103" s="17">
        <f t="shared" ref="E103:M103" si="61">IF(ROUND(E101*1.5,2)&lt;$G$149,ROUND(E101*1.5,2),IF($G$149&lt;E101,E101,$G$149))</f>
        <v>32.28</v>
      </c>
      <c r="F103" s="17">
        <f t="shared" si="61"/>
        <v>33.33</v>
      </c>
      <c r="G103" s="17">
        <f t="shared" si="61"/>
        <v>34.369999999999997</v>
      </c>
      <c r="H103" s="17">
        <f t="shared" si="61"/>
        <v>35.42</v>
      </c>
      <c r="I103" s="17">
        <f t="shared" si="61"/>
        <v>36.450000000000003</v>
      </c>
      <c r="J103" s="17">
        <f t="shared" si="61"/>
        <v>37.5</v>
      </c>
      <c r="K103" s="17">
        <f t="shared" si="61"/>
        <v>37.56</v>
      </c>
      <c r="L103" s="17">
        <f t="shared" si="61"/>
        <v>37.56</v>
      </c>
      <c r="M103" s="17">
        <f t="shared" si="61"/>
        <v>37.56</v>
      </c>
    </row>
    <row r="104" spans="1:13" s="64" customFormat="1" x14ac:dyDescent="0.2">
      <c r="A104" s="63"/>
      <c r="B104" s="63"/>
      <c r="C104" s="32" t="s">
        <v>46</v>
      </c>
      <c r="D104" s="17">
        <f>(ROUND(D99*'Start Page'!$F$33,2)*80)+(ROUND(D101*'Start Page'!$F$33,2)*($B$15-80))</f>
        <v>0</v>
      </c>
      <c r="E104" s="17">
        <f>(ROUND(E99*'Start Page'!$F$33,2)*80)+(ROUND(E101*'Start Page'!$F$33,2)*($B$15-80))</f>
        <v>0</v>
      </c>
      <c r="F104" s="17">
        <f>(ROUND(F99*'Start Page'!$F$33,2)*80)+(ROUND(F101*'Start Page'!$F$33,2)*($B$15-80))</f>
        <v>0</v>
      </c>
      <c r="G104" s="17">
        <f>(ROUND(G99*'Start Page'!$F$33,2)*80)+(ROUND(G101*'Start Page'!$F$33,2)*($B$15-80))</f>
        <v>0</v>
      </c>
      <c r="H104" s="17">
        <f>(ROUND(H99*'Start Page'!$F$33,2)*80)+(ROUND(H101*'Start Page'!$F$33,2)*($B$15-80))</f>
        <v>0</v>
      </c>
      <c r="I104" s="17">
        <f>(ROUND(I99*'Start Page'!$F$33,2)*80)+(ROUND(I101*'Start Page'!$F$33,2)*($B$15-80))</f>
        <v>0</v>
      </c>
      <c r="J104" s="17">
        <f>(ROUND(J99*'Start Page'!$F$33,2)*80)+(ROUND(J101*'Start Page'!$F$33,2)*($B$15-80))</f>
        <v>0</v>
      </c>
      <c r="K104" s="17">
        <f>(ROUND(K99*'Start Page'!$F$33,2)*80)+(ROUND(K101*'Start Page'!$F$33,2)*($B$15-80))</f>
        <v>0</v>
      </c>
      <c r="L104" s="17">
        <f>(ROUND(L99*'Start Page'!$F$33,2)*80)+(ROUND(L101*'Start Page'!$F$33,2)*($B$15-80))</f>
        <v>0</v>
      </c>
      <c r="M104" s="17">
        <f>(ROUND(M99*'Start Page'!$F$33,2)*80)+(ROUND(M101*'Start Page'!$F$33,2)*($B$15-80))</f>
        <v>0</v>
      </c>
    </row>
    <row r="105" spans="1:13" x14ac:dyDescent="0.2">
      <c r="A105" s="13"/>
      <c r="B105" s="13">
        <f>B98+B100+B102</f>
        <v>120</v>
      </c>
      <c r="C105" s="20" t="s">
        <v>17</v>
      </c>
      <c r="D105" s="34">
        <f t="shared" ref="D105:M105" si="62">D98+D100+D102+D104</f>
        <v>3179.88</v>
      </c>
      <c r="E105" s="34">
        <f t="shared" si="62"/>
        <v>3285.0400000000004</v>
      </c>
      <c r="F105" s="34">
        <f t="shared" si="62"/>
        <v>3391.54</v>
      </c>
      <c r="G105" s="34">
        <f t="shared" si="62"/>
        <v>3497.64</v>
      </c>
      <c r="H105" s="34">
        <f t="shared" si="62"/>
        <v>3603.3400000000006</v>
      </c>
      <c r="I105" s="34">
        <f t="shared" si="62"/>
        <v>3709.3000000000006</v>
      </c>
      <c r="J105" s="34">
        <f t="shared" si="62"/>
        <v>3815.7999999999997</v>
      </c>
      <c r="K105" s="34">
        <f t="shared" si="62"/>
        <v>3907.3800000000006</v>
      </c>
      <c r="L105" s="34">
        <f t="shared" si="62"/>
        <v>3998.9200000000005</v>
      </c>
      <c r="M105" s="34">
        <f t="shared" si="62"/>
        <v>4090.72</v>
      </c>
    </row>
    <row r="106" spans="1:13" x14ac:dyDescent="0.2">
      <c r="A106" s="13"/>
      <c r="B106" s="13"/>
      <c r="C106" s="20" t="s">
        <v>33</v>
      </c>
      <c r="D106" s="34">
        <f>D105*'Start Page'!$C$41</f>
        <v>82676.88</v>
      </c>
      <c r="E106" s="34">
        <f>E105*'Start Page'!$C$41</f>
        <v>85411.040000000008</v>
      </c>
      <c r="F106" s="34">
        <f>F105*'Start Page'!$C$41</f>
        <v>88180.04</v>
      </c>
      <c r="G106" s="34">
        <f>G105*'Start Page'!$C$41</f>
        <v>90938.64</v>
      </c>
      <c r="H106" s="34">
        <f>H105*'Start Page'!$C$41</f>
        <v>93686.840000000011</v>
      </c>
      <c r="I106" s="34">
        <f>I105*'Start Page'!$C$41</f>
        <v>96441.800000000017</v>
      </c>
      <c r="J106" s="34">
        <f>J105*'Start Page'!$C$41</f>
        <v>99210.799999999988</v>
      </c>
      <c r="K106" s="34">
        <f>K105*'Start Page'!$C$41</f>
        <v>101591.88000000002</v>
      </c>
      <c r="L106" s="34">
        <f>L105*'Start Page'!$C$41</f>
        <v>103971.92000000001</v>
      </c>
      <c r="M106" s="34">
        <f>M105*'Start Page'!$C$41</f>
        <v>106358.72</v>
      </c>
    </row>
    <row r="107" spans="1:13" s="36" customFormat="1" x14ac:dyDescent="0.2">
      <c r="A107" s="22"/>
      <c r="B107" s="22"/>
      <c r="C107" s="23" t="s">
        <v>105</v>
      </c>
      <c r="D107" s="35">
        <f>((D99*80)+(D101*($B$15-80)))*'Start Page'!$C$41</f>
        <v>78884</v>
      </c>
      <c r="E107" s="35">
        <f>((E99*80)+(E101*($B$15-80)))*'Start Page'!$C$41</f>
        <v>81494.400000000009</v>
      </c>
      <c r="F107" s="35">
        <f>((F99*80)+(F101*($B$15-80)))*'Start Page'!$C$41</f>
        <v>84136</v>
      </c>
      <c r="G107" s="35">
        <f>((G99*80)+(G101*($B$15-80)))*'Start Page'!$C$41</f>
        <v>86767.200000000012</v>
      </c>
      <c r="H107" s="35">
        <f>((H99*80)+(H101*($B$15-80)))*'Start Page'!$C$41</f>
        <v>89388.000000000015</v>
      </c>
      <c r="I107" s="35">
        <f>((I99*80)+(I101*($B$15-80)))*'Start Page'!$C$41</f>
        <v>92019.200000000012</v>
      </c>
      <c r="J107" s="35">
        <f>((J99*80)+(J101*($B$15-80)))*'Start Page'!$C$41</f>
        <v>94660.799999999988</v>
      </c>
      <c r="K107" s="35">
        <f>((K99*80)+(K101*($B$15-80)))*'Start Page'!$C$41</f>
        <v>97271.200000000012</v>
      </c>
      <c r="L107" s="35">
        <f>((L99*80)+(L101*($B$15-80)))*'Start Page'!$C$41</f>
        <v>99902.400000000009</v>
      </c>
      <c r="M107" s="124">
        <f>((M99*80)+(M101*($B$15-80)))*'Start Page'!$C$41</f>
        <v>102543.99999999999</v>
      </c>
    </row>
    <row r="108" spans="1:13" x14ac:dyDescent="0.2">
      <c r="A108" s="26"/>
      <c r="B108" s="26"/>
      <c r="C108" s="14" t="s">
        <v>30</v>
      </c>
      <c r="D108" s="121">
        <f>'GS Pay Scale'!B18</f>
        <v>68809</v>
      </c>
      <c r="E108" s="121">
        <f>'GS Pay Scale'!C18</f>
        <v>71102</v>
      </c>
      <c r="F108" s="121">
        <f>'GS Pay Scale'!D18</f>
        <v>73396</v>
      </c>
      <c r="G108" s="121">
        <f>'GS Pay Scale'!E18</f>
        <v>75689</v>
      </c>
      <c r="H108" s="121">
        <f>'GS Pay Scale'!F18</f>
        <v>77983</v>
      </c>
      <c r="I108" s="121">
        <f>'GS Pay Scale'!G18</f>
        <v>80276</v>
      </c>
      <c r="J108" s="121">
        <f>'GS Pay Scale'!H18</f>
        <v>82570</v>
      </c>
      <c r="K108" s="121">
        <f>'GS Pay Scale'!I18</f>
        <v>84863</v>
      </c>
      <c r="L108" s="121">
        <f>'GS Pay Scale'!J18</f>
        <v>87157</v>
      </c>
      <c r="M108" s="121">
        <f>'GS Pay Scale'!K18</f>
        <v>89450</v>
      </c>
    </row>
    <row r="109" spans="1:13" x14ac:dyDescent="0.2">
      <c r="A109" s="13"/>
      <c r="B109" s="13">
        <v>80</v>
      </c>
      <c r="C109" s="32" t="s">
        <v>44</v>
      </c>
      <c r="D109" s="121">
        <f t="shared" ref="D109:M109" si="63">D110*80</f>
        <v>2637.6</v>
      </c>
      <c r="E109" s="121">
        <f t="shared" si="63"/>
        <v>2725.6</v>
      </c>
      <c r="F109" s="121">
        <f t="shared" si="63"/>
        <v>2813.6000000000004</v>
      </c>
      <c r="G109" s="121">
        <f t="shared" si="63"/>
        <v>2901.6000000000004</v>
      </c>
      <c r="H109" s="121">
        <f t="shared" si="63"/>
        <v>2989.6</v>
      </c>
      <c r="I109" s="121">
        <f t="shared" si="63"/>
        <v>3076.8</v>
      </c>
      <c r="J109" s="121">
        <f t="shared" si="63"/>
        <v>3164.8</v>
      </c>
      <c r="K109" s="121">
        <f t="shared" si="63"/>
        <v>3252.7999999999997</v>
      </c>
      <c r="L109" s="121">
        <f t="shared" si="63"/>
        <v>3340.7999999999997</v>
      </c>
      <c r="M109" s="121">
        <f t="shared" si="63"/>
        <v>3428.8</v>
      </c>
    </row>
    <row r="110" spans="1:13" x14ac:dyDescent="0.2">
      <c r="A110" s="13"/>
      <c r="B110" s="13"/>
      <c r="C110" s="32" t="s">
        <v>20</v>
      </c>
      <c r="D110" s="33">
        <f t="shared" ref="D110:M110" si="64">ROUND(D108/2087,2)</f>
        <v>32.97</v>
      </c>
      <c r="E110" s="33">
        <f t="shared" si="64"/>
        <v>34.07</v>
      </c>
      <c r="F110" s="33">
        <f t="shared" si="64"/>
        <v>35.17</v>
      </c>
      <c r="G110" s="33">
        <f t="shared" si="64"/>
        <v>36.270000000000003</v>
      </c>
      <c r="H110" s="33">
        <f t="shared" si="64"/>
        <v>37.369999999999997</v>
      </c>
      <c r="I110" s="33">
        <f t="shared" si="64"/>
        <v>38.46</v>
      </c>
      <c r="J110" s="33">
        <f t="shared" si="64"/>
        <v>39.56</v>
      </c>
      <c r="K110" s="33">
        <f t="shared" si="64"/>
        <v>40.659999999999997</v>
      </c>
      <c r="L110" s="33">
        <f t="shared" si="64"/>
        <v>41.76</v>
      </c>
      <c r="M110" s="33">
        <f t="shared" si="64"/>
        <v>42.86</v>
      </c>
    </row>
    <row r="111" spans="1:13" x14ac:dyDescent="0.2">
      <c r="A111" s="13"/>
      <c r="B111" s="13">
        <v>26</v>
      </c>
      <c r="C111" s="16" t="s">
        <v>41</v>
      </c>
      <c r="D111" s="33">
        <f t="shared" ref="D111:M111" si="65">D112*26</f>
        <v>649.22</v>
      </c>
      <c r="E111" s="33">
        <f t="shared" si="65"/>
        <v>670.80000000000007</v>
      </c>
      <c r="F111" s="33">
        <f t="shared" si="65"/>
        <v>692.38</v>
      </c>
      <c r="G111" s="33">
        <f t="shared" si="65"/>
        <v>713.96</v>
      </c>
      <c r="H111" s="33">
        <f t="shared" si="65"/>
        <v>735.80000000000007</v>
      </c>
      <c r="I111" s="33">
        <f t="shared" si="65"/>
        <v>757.38</v>
      </c>
      <c r="J111" s="33">
        <f t="shared" si="65"/>
        <v>778.96</v>
      </c>
      <c r="K111" s="33">
        <f t="shared" si="65"/>
        <v>800.54</v>
      </c>
      <c r="L111" s="33">
        <f t="shared" si="65"/>
        <v>822.12</v>
      </c>
      <c r="M111" s="33">
        <f t="shared" si="65"/>
        <v>843.96</v>
      </c>
    </row>
    <row r="112" spans="1:13" x14ac:dyDescent="0.2">
      <c r="A112" s="13"/>
      <c r="B112" s="13"/>
      <c r="C112" s="16" t="s">
        <v>13</v>
      </c>
      <c r="D112" s="33">
        <f t="shared" ref="D112:M112" si="66">ROUND(D108/2756,2)</f>
        <v>24.97</v>
      </c>
      <c r="E112" s="33">
        <f t="shared" si="66"/>
        <v>25.8</v>
      </c>
      <c r="F112" s="33">
        <f t="shared" si="66"/>
        <v>26.63</v>
      </c>
      <c r="G112" s="33">
        <f t="shared" si="66"/>
        <v>27.46</v>
      </c>
      <c r="H112" s="33">
        <f t="shared" si="66"/>
        <v>28.3</v>
      </c>
      <c r="I112" s="33">
        <f t="shared" si="66"/>
        <v>29.13</v>
      </c>
      <c r="J112" s="33">
        <f t="shared" si="66"/>
        <v>29.96</v>
      </c>
      <c r="K112" s="33">
        <f t="shared" si="66"/>
        <v>30.79</v>
      </c>
      <c r="L112" s="33">
        <f t="shared" si="66"/>
        <v>31.62</v>
      </c>
      <c r="M112" s="33">
        <f t="shared" si="66"/>
        <v>32.46</v>
      </c>
    </row>
    <row r="113" spans="1:13" x14ac:dyDescent="0.2">
      <c r="A113" s="13" t="s">
        <v>26</v>
      </c>
      <c r="B113" s="19">
        <f>($G$3-53)*2</f>
        <v>14</v>
      </c>
      <c r="C113" s="16" t="s">
        <v>42</v>
      </c>
      <c r="D113" s="33">
        <f t="shared" ref="D113:M113" si="67">D114*$B$12</f>
        <v>524.44000000000005</v>
      </c>
      <c r="E113" s="33">
        <f t="shared" si="67"/>
        <v>525.84</v>
      </c>
      <c r="F113" s="33">
        <f t="shared" si="67"/>
        <v>525.84</v>
      </c>
      <c r="G113" s="33">
        <f t="shared" si="67"/>
        <v>525.84</v>
      </c>
      <c r="H113" s="33">
        <f t="shared" si="67"/>
        <v>525.84</v>
      </c>
      <c r="I113" s="33">
        <f t="shared" si="67"/>
        <v>525.84</v>
      </c>
      <c r="J113" s="33">
        <f t="shared" si="67"/>
        <v>525.84</v>
      </c>
      <c r="K113" s="33">
        <f t="shared" si="67"/>
        <v>525.84</v>
      </c>
      <c r="L113" s="33">
        <f t="shared" si="67"/>
        <v>525.84</v>
      </c>
      <c r="M113" s="33">
        <f t="shared" si="67"/>
        <v>525.84</v>
      </c>
    </row>
    <row r="114" spans="1:13" x14ac:dyDescent="0.2">
      <c r="A114" s="13"/>
      <c r="B114" s="13"/>
      <c r="C114" s="16" t="s">
        <v>14</v>
      </c>
      <c r="D114" s="17">
        <f t="shared" ref="D114:M114" si="68">IF(ROUND(D112*1.5,2)&lt;$G$149,ROUND(D112*1.5,2),IF($G$149&lt;D112,D112,$G$149))</f>
        <v>37.46</v>
      </c>
      <c r="E114" s="17">
        <f t="shared" si="68"/>
        <v>37.56</v>
      </c>
      <c r="F114" s="17">
        <f t="shared" si="68"/>
        <v>37.56</v>
      </c>
      <c r="G114" s="17">
        <f t="shared" si="68"/>
        <v>37.56</v>
      </c>
      <c r="H114" s="17">
        <f t="shared" si="68"/>
        <v>37.56</v>
      </c>
      <c r="I114" s="17">
        <f t="shared" si="68"/>
        <v>37.56</v>
      </c>
      <c r="J114" s="17">
        <f t="shared" si="68"/>
        <v>37.56</v>
      </c>
      <c r="K114" s="17">
        <f t="shared" si="68"/>
        <v>37.56</v>
      </c>
      <c r="L114" s="17">
        <f t="shared" si="68"/>
        <v>37.56</v>
      </c>
      <c r="M114" s="17">
        <f t="shared" si="68"/>
        <v>37.56</v>
      </c>
    </row>
    <row r="115" spans="1:13" s="64" customFormat="1" x14ac:dyDescent="0.2">
      <c r="A115" s="63"/>
      <c r="B115" s="63"/>
      <c r="C115" s="32" t="s">
        <v>46</v>
      </c>
      <c r="D115" s="17">
        <f>(ROUND(D110*'Start Page'!$F$33,2)*80)+(ROUND(D112*'Start Page'!$F$33,2)*($B$15-80))</f>
        <v>0</v>
      </c>
      <c r="E115" s="17">
        <f>(ROUND(E110*'Start Page'!$F$33,2)*80)+(ROUND(E112*'Start Page'!$F$33,2)*($B$15-80))</f>
        <v>0</v>
      </c>
      <c r="F115" s="17">
        <f>(ROUND(F110*'Start Page'!$F$33,2)*80)+(ROUND(F112*'Start Page'!$F$33,2)*($B$15-80))</f>
        <v>0</v>
      </c>
      <c r="G115" s="17">
        <f>(ROUND(G110*'Start Page'!$F$33,2)*80)+(ROUND(G112*'Start Page'!$F$33,2)*($B$15-80))</f>
        <v>0</v>
      </c>
      <c r="H115" s="17">
        <f>(ROUND(H110*'Start Page'!$F$33,2)*80)+(ROUND(H112*'Start Page'!$F$33,2)*($B$15-80))</f>
        <v>0</v>
      </c>
      <c r="I115" s="17">
        <f>(ROUND(I110*'Start Page'!$F$33,2)*80)+(ROUND(I112*'Start Page'!$F$33,2)*($B$15-80))</f>
        <v>0</v>
      </c>
      <c r="J115" s="17">
        <f>(ROUND(J110*'Start Page'!$F$33,2)*80)+(ROUND(J112*'Start Page'!$F$33,2)*($B$15-80))</f>
        <v>0</v>
      </c>
      <c r="K115" s="17">
        <f>(ROUND(K110*'Start Page'!$F$33,2)*80)+(ROUND(K112*'Start Page'!$F$33,2)*($B$15-80))</f>
        <v>0</v>
      </c>
      <c r="L115" s="17">
        <f>(ROUND(L110*'Start Page'!$F$33,2)*80)+(ROUND(L112*'Start Page'!$F$33,2)*($B$15-80))</f>
        <v>0</v>
      </c>
      <c r="M115" s="17">
        <f>(ROUND(M110*'Start Page'!$F$33,2)*80)+(ROUND(M112*'Start Page'!$F$33,2)*($B$15-80))</f>
        <v>0</v>
      </c>
    </row>
    <row r="116" spans="1:13" x14ac:dyDescent="0.2">
      <c r="A116" s="13"/>
      <c r="B116" s="13">
        <f>B109+B111+B113</f>
        <v>120</v>
      </c>
      <c r="C116" s="20" t="s">
        <v>17</v>
      </c>
      <c r="D116" s="34">
        <f t="shared" ref="D116:M116" si="69">D109+D111+D113+D115</f>
        <v>3811.2599999999998</v>
      </c>
      <c r="E116" s="34">
        <f t="shared" si="69"/>
        <v>3922.2400000000002</v>
      </c>
      <c r="F116" s="34">
        <f t="shared" si="69"/>
        <v>4031.8200000000006</v>
      </c>
      <c r="G116" s="34">
        <f t="shared" si="69"/>
        <v>4141.4000000000005</v>
      </c>
      <c r="H116" s="34">
        <f t="shared" si="69"/>
        <v>4251.24</v>
      </c>
      <c r="I116" s="34">
        <f t="shared" si="69"/>
        <v>4360.0200000000004</v>
      </c>
      <c r="J116" s="34">
        <f t="shared" si="69"/>
        <v>4469.6000000000004</v>
      </c>
      <c r="K116" s="34">
        <f t="shared" si="69"/>
        <v>4579.1799999999994</v>
      </c>
      <c r="L116" s="34">
        <f t="shared" si="69"/>
        <v>4688.76</v>
      </c>
      <c r="M116" s="34">
        <f t="shared" si="69"/>
        <v>4798.6000000000004</v>
      </c>
    </row>
    <row r="117" spans="1:13" x14ac:dyDescent="0.2">
      <c r="A117" s="13"/>
      <c r="B117" s="13"/>
      <c r="C117" s="20" t="s">
        <v>33</v>
      </c>
      <c r="D117" s="34">
        <f>D116*'Start Page'!$C$41</f>
        <v>99092.76</v>
      </c>
      <c r="E117" s="34">
        <f>E116*'Start Page'!$C$41</f>
        <v>101978.24000000001</v>
      </c>
      <c r="F117" s="34">
        <f>F116*'Start Page'!$C$41</f>
        <v>104827.32000000002</v>
      </c>
      <c r="G117" s="34">
        <f>G116*'Start Page'!$C$41</f>
        <v>107676.40000000001</v>
      </c>
      <c r="H117" s="34">
        <f>H116*'Start Page'!$C$41</f>
        <v>110532.23999999999</v>
      </c>
      <c r="I117" s="34">
        <f>I116*'Start Page'!$C$41</f>
        <v>113360.52000000002</v>
      </c>
      <c r="J117" s="34">
        <f>J116*'Start Page'!$C$41</f>
        <v>116209.60000000001</v>
      </c>
      <c r="K117" s="34">
        <f>K116*'Start Page'!$C$41</f>
        <v>119058.67999999998</v>
      </c>
      <c r="L117" s="34">
        <f>L116*'Start Page'!$C$41</f>
        <v>121907.76000000001</v>
      </c>
      <c r="M117" s="34">
        <f>M116*'Start Page'!$C$41</f>
        <v>124763.6</v>
      </c>
    </row>
    <row r="118" spans="1:13" s="36" customFormat="1" x14ac:dyDescent="0.2">
      <c r="A118" s="22"/>
      <c r="B118" s="22"/>
      <c r="C118" s="23" t="s">
        <v>105</v>
      </c>
      <c r="D118" s="35">
        <f>((D110*80)+(D112*($B$15-80)))*'Start Page'!$C$41</f>
        <v>94546.4</v>
      </c>
      <c r="E118" s="35">
        <f>((E110*80)+(E112*($B$15-80)))*'Start Page'!$C$41</f>
        <v>97697.599999999991</v>
      </c>
      <c r="F118" s="35">
        <f>((F110*80)+(F112*($B$15-80)))*'Start Page'!$C$41</f>
        <v>100848.8</v>
      </c>
      <c r="G118" s="35">
        <f>((G110*80)+(G112*($B$15-80)))*'Start Page'!$C$41</f>
        <v>104000.00000000001</v>
      </c>
      <c r="H118" s="35">
        <f>((H110*80)+(H112*($B$15-80)))*'Start Page'!$C$41</f>
        <v>107161.60000000001</v>
      </c>
      <c r="I118" s="35">
        <f>((I110*80)+(I112*($B$15-80)))*'Start Page'!$C$41</f>
        <v>110292</v>
      </c>
      <c r="J118" s="35">
        <f>((J110*80)+(J112*($B$15-80)))*'Start Page'!$C$41</f>
        <v>113443.20000000001</v>
      </c>
      <c r="K118" s="35">
        <f>((K110*80)+(K112*($B$15-80)))*'Start Page'!$C$41</f>
        <v>116594.4</v>
      </c>
      <c r="L118" s="35">
        <f>((L110*80)+(L112*($B$15-80)))*'Start Page'!$C$41</f>
        <v>119745.59999999999</v>
      </c>
      <c r="M118" s="124">
        <f>((M110*80)+(M112*($B$15-80)))*'Start Page'!$C$41</f>
        <v>122907.20000000001</v>
      </c>
    </row>
    <row r="119" spans="1:13" s="36" customFormat="1" x14ac:dyDescent="0.2">
      <c r="A119" s="26"/>
      <c r="B119" s="26"/>
      <c r="C119" s="14" t="s">
        <v>30</v>
      </c>
      <c r="D119" s="121">
        <f>'GS Pay Scale'!B19</f>
        <v>81823</v>
      </c>
      <c r="E119" s="121">
        <f>'GS Pay Scale'!C19</f>
        <v>84550</v>
      </c>
      <c r="F119" s="121">
        <f>'GS Pay Scale'!D19</f>
        <v>87278</v>
      </c>
      <c r="G119" s="121">
        <f>'GS Pay Scale'!E19</f>
        <v>90005</v>
      </c>
      <c r="H119" s="121">
        <f>'GS Pay Scale'!F19</f>
        <v>92732</v>
      </c>
      <c r="I119" s="121">
        <f>'GS Pay Scale'!G19</f>
        <v>95459</v>
      </c>
      <c r="J119" s="121">
        <f>'GS Pay Scale'!H19</f>
        <v>98187</v>
      </c>
      <c r="K119" s="121">
        <f>'GS Pay Scale'!I19</f>
        <v>100914</v>
      </c>
      <c r="L119" s="121">
        <f>'GS Pay Scale'!J19</f>
        <v>103641</v>
      </c>
      <c r="M119" s="121">
        <f>'GS Pay Scale'!K19</f>
        <v>106369</v>
      </c>
    </row>
    <row r="120" spans="1:13" s="36" customFormat="1" x14ac:dyDescent="0.2">
      <c r="A120" s="13"/>
      <c r="B120" s="13">
        <v>80</v>
      </c>
      <c r="C120" s="32" t="s">
        <v>44</v>
      </c>
      <c r="D120" s="121">
        <f t="shared" ref="D120:M120" si="70">D121*80</f>
        <v>3136.8</v>
      </c>
      <c r="E120" s="121">
        <f t="shared" si="70"/>
        <v>3240.7999999999997</v>
      </c>
      <c r="F120" s="121">
        <f t="shared" si="70"/>
        <v>3345.6</v>
      </c>
      <c r="G120" s="121">
        <f t="shared" si="70"/>
        <v>3450.4</v>
      </c>
      <c r="H120" s="121">
        <f t="shared" si="70"/>
        <v>3554.4</v>
      </c>
      <c r="I120" s="121">
        <f t="shared" si="70"/>
        <v>3659.2000000000003</v>
      </c>
      <c r="J120" s="121">
        <f t="shared" si="70"/>
        <v>3764</v>
      </c>
      <c r="K120" s="121">
        <f t="shared" si="70"/>
        <v>3868</v>
      </c>
      <c r="L120" s="121">
        <f t="shared" si="70"/>
        <v>3972.7999999999997</v>
      </c>
      <c r="M120" s="121">
        <f t="shared" si="70"/>
        <v>4077.6</v>
      </c>
    </row>
    <row r="121" spans="1:13" s="36" customFormat="1" x14ac:dyDescent="0.2">
      <c r="A121" s="13"/>
      <c r="B121" s="13"/>
      <c r="C121" s="32" t="s">
        <v>20</v>
      </c>
      <c r="D121" s="33">
        <f t="shared" ref="D121:M121" si="71">ROUND(D119/2087,2)</f>
        <v>39.21</v>
      </c>
      <c r="E121" s="33">
        <f t="shared" si="71"/>
        <v>40.51</v>
      </c>
      <c r="F121" s="33">
        <f t="shared" si="71"/>
        <v>41.82</v>
      </c>
      <c r="G121" s="33">
        <f t="shared" si="71"/>
        <v>43.13</v>
      </c>
      <c r="H121" s="33">
        <f t="shared" si="71"/>
        <v>44.43</v>
      </c>
      <c r="I121" s="33">
        <f t="shared" si="71"/>
        <v>45.74</v>
      </c>
      <c r="J121" s="33">
        <f t="shared" si="71"/>
        <v>47.05</v>
      </c>
      <c r="K121" s="33">
        <f t="shared" si="71"/>
        <v>48.35</v>
      </c>
      <c r="L121" s="33">
        <f t="shared" si="71"/>
        <v>49.66</v>
      </c>
      <c r="M121" s="33">
        <f t="shared" si="71"/>
        <v>50.97</v>
      </c>
    </row>
    <row r="122" spans="1:13" s="36" customFormat="1" x14ac:dyDescent="0.2">
      <c r="A122" s="13"/>
      <c r="B122" s="13">
        <v>26</v>
      </c>
      <c r="C122" s="16" t="s">
        <v>41</v>
      </c>
      <c r="D122" s="33">
        <f t="shared" ref="D122:M122" si="72">D123*26</f>
        <v>771.94</v>
      </c>
      <c r="E122" s="33">
        <f t="shared" si="72"/>
        <v>797.68</v>
      </c>
      <c r="F122" s="33">
        <f t="shared" si="72"/>
        <v>823.42000000000007</v>
      </c>
      <c r="G122" s="33">
        <f t="shared" si="72"/>
        <v>849.15999999999985</v>
      </c>
      <c r="H122" s="33">
        <f t="shared" si="72"/>
        <v>874.9</v>
      </c>
      <c r="I122" s="33">
        <f t="shared" si="72"/>
        <v>900.64</v>
      </c>
      <c r="J122" s="33">
        <f t="shared" si="72"/>
        <v>926.38000000000011</v>
      </c>
      <c r="K122" s="33">
        <f t="shared" si="72"/>
        <v>952.11999999999989</v>
      </c>
      <c r="L122" s="33">
        <f t="shared" si="72"/>
        <v>977.86</v>
      </c>
      <c r="M122" s="33">
        <f t="shared" si="72"/>
        <v>1003.6</v>
      </c>
    </row>
    <row r="123" spans="1:13" s="36" customFormat="1" x14ac:dyDescent="0.2">
      <c r="A123" s="13"/>
      <c r="B123" s="13"/>
      <c r="C123" s="16" t="s">
        <v>13</v>
      </c>
      <c r="D123" s="33">
        <f t="shared" ref="D123:M123" si="73">ROUND(D119/2756,2)</f>
        <v>29.69</v>
      </c>
      <c r="E123" s="33">
        <f t="shared" si="73"/>
        <v>30.68</v>
      </c>
      <c r="F123" s="33">
        <f t="shared" si="73"/>
        <v>31.67</v>
      </c>
      <c r="G123" s="33">
        <f t="shared" si="73"/>
        <v>32.659999999999997</v>
      </c>
      <c r="H123" s="33">
        <f t="shared" si="73"/>
        <v>33.65</v>
      </c>
      <c r="I123" s="33">
        <f t="shared" si="73"/>
        <v>34.64</v>
      </c>
      <c r="J123" s="33">
        <f t="shared" si="73"/>
        <v>35.630000000000003</v>
      </c>
      <c r="K123" s="33">
        <f t="shared" si="73"/>
        <v>36.619999999999997</v>
      </c>
      <c r="L123" s="33">
        <f t="shared" si="73"/>
        <v>37.61</v>
      </c>
      <c r="M123" s="33">
        <f t="shared" si="73"/>
        <v>38.6</v>
      </c>
    </row>
    <row r="124" spans="1:13" s="36" customFormat="1" x14ac:dyDescent="0.2">
      <c r="A124" s="13" t="s">
        <v>31</v>
      </c>
      <c r="B124" s="19">
        <f>($G$3-53)*2</f>
        <v>14</v>
      </c>
      <c r="C124" s="16" t="s">
        <v>42</v>
      </c>
      <c r="D124" s="33">
        <f t="shared" ref="D124:M124" si="74">D125*$B$12</f>
        <v>525.84</v>
      </c>
      <c r="E124" s="33">
        <f t="shared" si="74"/>
        <v>525.84</v>
      </c>
      <c r="F124" s="33">
        <f t="shared" si="74"/>
        <v>525.84</v>
      </c>
      <c r="G124" s="33">
        <f t="shared" si="74"/>
        <v>525.84</v>
      </c>
      <c r="H124" s="33">
        <f t="shared" si="74"/>
        <v>525.84</v>
      </c>
      <c r="I124" s="33">
        <f t="shared" si="74"/>
        <v>525.84</v>
      </c>
      <c r="J124" s="33">
        <f t="shared" si="74"/>
        <v>525.84</v>
      </c>
      <c r="K124" s="33">
        <f t="shared" si="74"/>
        <v>525.84</v>
      </c>
      <c r="L124" s="33">
        <f t="shared" si="74"/>
        <v>526.54</v>
      </c>
      <c r="M124" s="33">
        <f t="shared" si="74"/>
        <v>540.4</v>
      </c>
    </row>
    <row r="125" spans="1:13" s="36" customFormat="1" x14ac:dyDescent="0.2">
      <c r="A125" s="13"/>
      <c r="B125" s="13"/>
      <c r="C125" s="16" t="s">
        <v>14</v>
      </c>
      <c r="D125" s="17">
        <f t="shared" ref="D125:M125" si="75">IF(ROUND(D123*1.5,2)&lt;$G$149,ROUND(D123*1.5,2),IF($G$149&lt;D123,D123,$G$149))</f>
        <v>37.56</v>
      </c>
      <c r="E125" s="17">
        <f t="shared" si="75"/>
        <v>37.56</v>
      </c>
      <c r="F125" s="17">
        <f t="shared" si="75"/>
        <v>37.56</v>
      </c>
      <c r="G125" s="17">
        <f t="shared" si="75"/>
        <v>37.56</v>
      </c>
      <c r="H125" s="17">
        <f t="shared" si="75"/>
        <v>37.56</v>
      </c>
      <c r="I125" s="17">
        <f t="shared" si="75"/>
        <v>37.56</v>
      </c>
      <c r="J125" s="17">
        <f t="shared" si="75"/>
        <v>37.56</v>
      </c>
      <c r="K125" s="17">
        <f t="shared" si="75"/>
        <v>37.56</v>
      </c>
      <c r="L125" s="17">
        <f t="shared" si="75"/>
        <v>37.61</v>
      </c>
      <c r="M125" s="17">
        <f t="shared" si="75"/>
        <v>38.6</v>
      </c>
    </row>
    <row r="126" spans="1:13" s="36" customFormat="1" x14ac:dyDescent="0.2">
      <c r="A126" s="63"/>
      <c r="B126" s="63"/>
      <c r="C126" s="32" t="s">
        <v>46</v>
      </c>
      <c r="D126" s="17">
        <f>(ROUND(D121*'Start Page'!$F$33,2)*80)+(ROUND(D123*'Start Page'!$F$33,2)*($B$15-80))</f>
        <v>0</v>
      </c>
      <c r="E126" s="17">
        <f>(ROUND(E121*'Start Page'!$F$33,2)*80)+(ROUND(E123*'Start Page'!$F$33,2)*($B$15-80))</f>
        <v>0</v>
      </c>
      <c r="F126" s="17">
        <f>(ROUND(F121*'Start Page'!$F$33,2)*80)+(ROUND(F123*'Start Page'!$F$33,2)*($B$15-80))</f>
        <v>0</v>
      </c>
      <c r="G126" s="17">
        <f>(ROUND(G121*'Start Page'!$F$33,2)*80)+(ROUND(G123*'Start Page'!$F$33,2)*($B$15-80))</f>
        <v>0</v>
      </c>
      <c r="H126" s="17">
        <f>(ROUND(H121*'Start Page'!$F$33,2)*80)+(ROUND(H123*'Start Page'!$F$33,2)*($B$15-80))</f>
        <v>0</v>
      </c>
      <c r="I126" s="17">
        <f>(ROUND(I121*'Start Page'!$F$33,2)*80)+(ROUND(I123*'Start Page'!$F$33,2)*($B$15-80))</f>
        <v>0</v>
      </c>
      <c r="J126" s="17">
        <f>(ROUND(J121*'Start Page'!$F$33,2)*80)+(ROUND(J123*'Start Page'!$F$33,2)*($B$15-80))</f>
        <v>0</v>
      </c>
      <c r="K126" s="17">
        <f>(ROUND(K121*'Start Page'!$F$33,2)*80)+(ROUND(K123*'Start Page'!$F$33,2)*($B$15-80))</f>
        <v>0</v>
      </c>
      <c r="L126" s="17">
        <f>(ROUND(L121*'Start Page'!$F$33,2)*80)+(ROUND(L123*'Start Page'!$F$33,2)*($B$15-80))</f>
        <v>0</v>
      </c>
      <c r="M126" s="17">
        <f>(ROUND(M121*'Start Page'!$F$33,2)*80)+(ROUND(M123*'Start Page'!$F$33,2)*($B$15-80))</f>
        <v>0</v>
      </c>
    </row>
    <row r="127" spans="1:13" s="36" customFormat="1" x14ac:dyDescent="0.2">
      <c r="A127" s="13"/>
      <c r="B127" s="13">
        <f>B120+B122+B124</f>
        <v>120</v>
      </c>
      <c r="C127" s="20" t="s">
        <v>17</v>
      </c>
      <c r="D127" s="34">
        <f t="shared" ref="D127:M127" si="76">D120+D122+D124+D126</f>
        <v>4434.58</v>
      </c>
      <c r="E127" s="34">
        <f t="shared" si="76"/>
        <v>4564.32</v>
      </c>
      <c r="F127" s="34">
        <f t="shared" si="76"/>
        <v>4694.8600000000006</v>
      </c>
      <c r="G127" s="34">
        <f t="shared" si="76"/>
        <v>4825.3999999999996</v>
      </c>
      <c r="H127" s="34">
        <f t="shared" si="76"/>
        <v>4955.1400000000003</v>
      </c>
      <c r="I127" s="34">
        <f t="shared" si="76"/>
        <v>5085.68</v>
      </c>
      <c r="J127" s="34">
        <f t="shared" si="76"/>
        <v>5216.22</v>
      </c>
      <c r="K127" s="34">
        <f t="shared" si="76"/>
        <v>5345.96</v>
      </c>
      <c r="L127" s="34">
        <f t="shared" si="76"/>
        <v>5477.2</v>
      </c>
      <c r="M127" s="34">
        <f t="shared" si="76"/>
        <v>5621.5999999999995</v>
      </c>
    </row>
    <row r="128" spans="1:13" s="36" customFormat="1" x14ac:dyDescent="0.2">
      <c r="A128" s="13"/>
      <c r="B128" s="13"/>
      <c r="C128" s="20" t="s">
        <v>33</v>
      </c>
      <c r="D128" s="34">
        <f>D127*'Start Page'!$C$41</f>
        <v>115299.08</v>
      </c>
      <c r="E128" s="34">
        <f>E127*'Start Page'!$C$41</f>
        <v>118672.31999999999</v>
      </c>
      <c r="F128" s="34">
        <f>F127*'Start Page'!$C$41</f>
        <v>122066.36000000002</v>
      </c>
      <c r="G128" s="34">
        <f>G127*'Start Page'!$C$41</f>
        <v>125460.4</v>
      </c>
      <c r="H128" s="34">
        <f>H127*'Start Page'!$C$41</f>
        <v>128833.64000000001</v>
      </c>
      <c r="I128" s="34">
        <f>I127*'Start Page'!$C$41</f>
        <v>132227.68</v>
      </c>
      <c r="J128" s="34">
        <f>J127*'Start Page'!$C$41</f>
        <v>135621.72</v>
      </c>
      <c r="K128" s="34">
        <f>K127*'Start Page'!$C$41</f>
        <v>138994.96</v>
      </c>
      <c r="L128" s="34">
        <f>L127*'Start Page'!$C$41</f>
        <v>142407.19999999998</v>
      </c>
      <c r="M128" s="34">
        <f>M127*'Start Page'!$C$41</f>
        <v>146161.59999999998</v>
      </c>
    </row>
    <row r="129" spans="1:13" s="36" customFormat="1" x14ac:dyDescent="0.2">
      <c r="A129" s="22"/>
      <c r="B129" s="22"/>
      <c r="C129" s="23" t="s">
        <v>105</v>
      </c>
      <c r="D129" s="35">
        <f>((D121*80)+(D123*($B$15-80)))*'Start Page'!$C$41</f>
        <v>112434.40000000001</v>
      </c>
      <c r="E129" s="35">
        <f>((E121*80)+(E123*($B$15-80)))*'Start Page'!$C$41</f>
        <v>116168</v>
      </c>
      <c r="F129" s="35">
        <f>((F121*80)+(F123*($B$15-80)))*'Start Page'!$C$41</f>
        <v>119922.4</v>
      </c>
      <c r="G129" s="35">
        <f>((G121*80)+(G123*($B$15-80)))*'Start Page'!$C$41</f>
        <v>123676.8</v>
      </c>
      <c r="H129" s="35">
        <f>((H121*80)+(H123*($B$15-80)))*'Start Page'!$C$41</f>
        <v>127410.4</v>
      </c>
      <c r="I129" s="35">
        <f>((I121*80)+(I123*($B$15-80)))*'Start Page'!$C$41</f>
        <v>131164.80000000002</v>
      </c>
      <c r="J129" s="35">
        <f>((J121*80)+(J123*($B$15-80)))*'Start Page'!$C$41</f>
        <v>134919.19999999998</v>
      </c>
      <c r="K129" s="35">
        <f>((K121*80)+(K123*($B$15-80)))*'Start Page'!$C$41</f>
        <v>138652.80000000002</v>
      </c>
      <c r="L129" s="35">
        <f>((L121*80)+(L123*($B$15-80)))*'Start Page'!$C$41</f>
        <v>142407.19999999998</v>
      </c>
      <c r="M129" s="124">
        <f>((M121*80)+(M123*($B$15-80)))*'Start Page'!$C$41</f>
        <v>146161.60000000001</v>
      </c>
    </row>
    <row r="130" spans="1:13" x14ac:dyDescent="0.2">
      <c r="A130" s="26"/>
      <c r="B130" s="26"/>
      <c r="C130" s="14" t="s">
        <v>30</v>
      </c>
      <c r="D130" s="121">
        <f>'GS Pay Scale'!B20</f>
        <v>96690</v>
      </c>
      <c r="E130" s="121">
        <f>'GS Pay Scale'!C20</f>
        <v>99913</v>
      </c>
      <c r="F130" s="121">
        <f>'GS Pay Scale'!D20</f>
        <v>103136</v>
      </c>
      <c r="G130" s="121">
        <f>'GS Pay Scale'!E20</f>
        <v>106358</v>
      </c>
      <c r="H130" s="121">
        <f>'GS Pay Scale'!F20</f>
        <v>109581</v>
      </c>
      <c r="I130" s="121">
        <f>'GS Pay Scale'!G20</f>
        <v>112804</v>
      </c>
      <c r="J130" s="121">
        <f>'GS Pay Scale'!H20</f>
        <v>116027</v>
      </c>
      <c r="K130" s="121">
        <f>'GS Pay Scale'!I20</f>
        <v>119249</v>
      </c>
      <c r="L130" s="121">
        <f>'GS Pay Scale'!J20</f>
        <v>122472</v>
      </c>
      <c r="M130" s="121">
        <f>'GS Pay Scale'!K20</f>
        <v>125695</v>
      </c>
    </row>
    <row r="131" spans="1:13" x14ac:dyDescent="0.2">
      <c r="A131" s="13"/>
      <c r="B131" s="13">
        <v>80</v>
      </c>
      <c r="C131" s="32" t="s">
        <v>44</v>
      </c>
      <c r="D131" s="121">
        <f t="shared" ref="D131:M131" si="77">D132*80</f>
        <v>3706.3999999999996</v>
      </c>
      <c r="E131" s="121">
        <f t="shared" si="77"/>
        <v>3829.6</v>
      </c>
      <c r="F131" s="121">
        <f t="shared" si="77"/>
        <v>3953.6000000000004</v>
      </c>
      <c r="G131" s="121">
        <f t="shared" si="77"/>
        <v>4076.8</v>
      </c>
      <c r="H131" s="121">
        <f t="shared" si="77"/>
        <v>4200.8</v>
      </c>
      <c r="I131" s="121">
        <f t="shared" si="77"/>
        <v>4324</v>
      </c>
      <c r="J131" s="121">
        <f t="shared" si="77"/>
        <v>4448</v>
      </c>
      <c r="K131" s="121">
        <f t="shared" si="77"/>
        <v>4571.2</v>
      </c>
      <c r="L131" s="121">
        <f t="shared" si="77"/>
        <v>4694.3999999999996</v>
      </c>
      <c r="M131" s="121">
        <f t="shared" si="77"/>
        <v>4818.3999999999996</v>
      </c>
    </row>
    <row r="132" spans="1:13" x14ac:dyDescent="0.2">
      <c r="A132" s="13"/>
      <c r="B132" s="13"/>
      <c r="C132" s="32" t="s">
        <v>20</v>
      </c>
      <c r="D132" s="33">
        <f t="shared" ref="D132:M132" si="78">ROUND(D130/2087,2)</f>
        <v>46.33</v>
      </c>
      <c r="E132" s="33">
        <f t="shared" si="78"/>
        <v>47.87</v>
      </c>
      <c r="F132" s="33">
        <f t="shared" si="78"/>
        <v>49.42</v>
      </c>
      <c r="G132" s="33">
        <f t="shared" si="78"/>
        <v>50.96</v>
      </c>
      <c r="H132" s="33">
        <f t="shared" si="78"/>
        <v>52.51</v>
      </c>
      <c r="I132" s="33">
        <f t="shared" si="78"/>
        <v>54.05</v>
      </c>
      <c r="J132" s="33">
        <f t="shared" si="78"/>
        <v>55.6</v>
      </c>
      <c r="K132" s="33">
        <f t="shared" si="78"/>
        <v>57.14</v>
      </c>
      <c r="L132" s="33">
        <f t="shared" si="78"/>
        <v>58.68</v>
      </c>
      <c r="M132" s="33">
        <f t="shared" si="78"/>
        <v>60.23</v>
      </c>
    </row>
    <row r="133" spans="1:13" x14ac:dyDescent="0.2">
      <c r="A133" s="13"/>
      <c r="B133" s="13">
        <v>26</v>
      </c>
      <c r="C133" s="16" t="s">
        <v>41</v>
      </c>
      <c r="D133" s="33">
        <f t="shared" ref="D133:M133" si="79">D134*26</f>
        <v>912.07999999999993</v>
      </c>
      <c r="E133" s="33">
        <f t="shared" si="79"/>
        <v>942.5</v>
      </c>
      <c r="F133" s="33">
        <f t="shared" si="79"/>
        <v>972.92000000000007</v>
      </c>
      <c r="G133" s="33">
        <f t="shared" si="79"/>
        <v>1003.3400000000001</v>
      </c>
      <c r="H133" s="33">
        <f t="shared" si="79"/>
        <v>1033.76</v>
      </c>
      <c r="I133" s="33">
        <f t="shared" si="79"/>
        <v>1064.18</v>
      </c>
      <c r="J133" s="33">
        <f t="shared" si="79"/>
        <v>1094.6000000000001</v>
      </c>
      <c r="K133" s="33">
        <f t="shared" si="79"/>
        <v>1125.02</v>
      </c>
      <c r="L133" s="33">
        <f t="shared" si="79"/>
        <v>1155.44</v>
      </c>
      <c r="M133" s="33">
        <f t="shared" si="79"/>
        <v>1185.8599999999999</v>
      </c>
    </row>
    <row r="134" spans="1:13" x14ac:dyDescent="0.2">
      <c r="A134" s="13"/>
      <c r="B134" s="13"/>
      <c r="C134" s="16" t="s">
        <v>13</v>
      </c>
      <c r="D134" s="33">
        <f t="shared" ref="D134:M134" si="80">ROUND(D130/2756,2)</f>
        <v>35.08</v>
      </c>
      <c r="E134" s="33">
        <f t="shared" si="80"/>
        <v>36.25</v>
      </c>
      <c r="F134" s="33">
        <f t="shared" si="80"/>
        <v>37.42</v>
      </c>
      <c r="G134" s="33">
        <f t="shared" si="80"/>
        <v>38.590000000000003</v>
      </c>
      <c r="H134" s="33">
        <f t="shared" si="80"/>
        <v>39.76</v>
      </c>
      <c r="I134" s="33">
        <f t="shared" si="80"/>
        <v>40.93</v>
      </c>
      <c r="J134" s="33">
        <f t="shared" si="80"/>
        <v>42.1</v>
      </c>
      <c r="K134" s="33">
        <f t="shared" si="80"/>
        <v>43.27</v>
      </c>
      <c r="L134" s="33">
        <f t="shared" si="80"/>
        <v>44.44</v>
      </c>
      <c r="M134" s="33">
        <f t="shared" si="80"/>
        <v>45.61</v>
      </c>
    </row>
    <row r="135" spans="1:13" x14ac:dyDescent="0.2">
      <c r="A135" s="13" t="s">
        <v>161</v>
      </c>
      <c r="B135" s="19">
        <f>($G$3-53)*2</f>
        <v>14</v>
      </c>
      <c r="C135" s="16" t="s">
        <v>42</v>
      </c>
      <c r="D135" s="33">
        <f t="shared" ref="D135:M135" si="81">D136*$B$12</f>
        <v>525.84</v>
      </c>
      <c r="E135" s="33">
        <f t="shared" si="81"/>
        <v>525.84</v>
      </c>
      <c r="F135" s="33">
        <f t="shared" si="81"/>
        <v>525.84</v>
      </c>
      <c r="G135" s="33">
        <f t="shared" si="81"/>
        <v>540.26</v>
      </c>
      <c r="H135" s="33">
        <f t="shared" si="81"/>
        <v>556.64</v>
      </c>
      <c r="I135" s="33">
        <f t="shared" si="81"/>
        <v>573.02</v>
      </c>
      <c r="J135" s="33">
        <f t="shared" si="81"/>
        <v>589.4</v>
      </c>
      <c r="K135" s="33">
        <f t="shared" si="81"/>
        <v>605.78000000000009</v>
      </c>
      <c r="L135" s="33">
        <f t="shared" si="81"/>
        <v>622.16</v>
      </c>
      <c r="M135" s="33">
        <f t="shared" si="81"/>
        <v>638.54</v>
      </c>
    </row>
    <row r="136" spans="1:13" x14ac:dyDescent="0.2">
      <c r="A136" s="13"/>
      <c r="B136" s="13"/>
      <c r="C136" s="16" t="s">
        <v>14</v>
      </c>
      <c r="D136" s="17">
        <f t="shared" ref="D136:M136" si="82">IF(ROUND(D134*1.5,2)&lt;$G$149,ROUND(D134*1.5,2),IF($G$149&lt;D134,D134,$G$149))</f>
        <v>37.56</v>
      </c>
      <c r="E136" s="17">
        <f t="shared" si="82"/>
        <v>37.56</v>
      </c>
      <c r="F136" s="17">
        <f t="shared" si="82"/>
        <v>37.56</v>
      </c>
      <c r="G136" s="17">
        <f t="shared" si="82"/>
        <v>38.590000000000003</v>
      </c>
      <c r="H136" s="17">
        <f t="shared" si="82"/>
        <v>39.76</v>
      </c>
      <c r="I136" s="17">
        <f t="shared" si="82"/>
        <v>40.93</v>
      </c>
      <c r="J136" s="17">
        <f t="shared" si="82"/>
        <v>42.1</v>
      </c>
      <c r="K136" s="17">
        <f t="shared" si="82"/>
        <v>43.27</v>
      </c>
      <c r="L136" s="17">
        <f t="shared" si="82"/>
        <v>44.44</v>
      </c>
      <c r="M136" s="17">
        <f t="shared" si="82"/>
        <v>45.61</v>
      </c>
    </row>
    <row r="137" spans="1:13" s="64" customFormat="1" x14ac:dyDescent="0.2">
      <c r="A137" s="63"/>
      <c r="B137" s="63"/>
      <c r="C137" s="32" t="s">
        <v>46</v>
      </c>
      <c r="D137" s="17">
        <f>(ROUND(D132*'Start Page'!$F$33,2)*80)+(ROUND(D134*'Start Page'!$F$33,2)*($B$15-80))</f>
        <v>0</v>
      </c>
      <c r="E137" s="17">
        <f>(ROUND(E132*'Start Page'!$F$33,2)*80)+(ROUND(E134*'Start Page'!$F$33,2)*($B$15-80))</f>
        <v>0</v>
      </c>
      <c r="F137" s="17">
        <f>(ROUND(F132*'Start Page'!$F$33,2)*80)+(ROUND(F134*'Start Page'!$F$33,2)*($B$15-80))</f>
        <v>0</v>
      </c>
      <c r="G137" s="17">
        <f>(ROUND(G132*'Start Page'!$F$33,2)*80)+(ROUND(G134*'Start Page'!$F$33,2)*($B$15-80))</f>
        <v>0</v>
      </c>
      <c r="H137" s="17">
        <f>(ROUND(H132*'Start Page'!$F$33,2)*80)+(ROUND(H134*'Start Page'!$F$33,2)*($B$15-80))</f>
        <v>0</v>
      </c>
      <c r="I137" s="17">
        <f>(ROUND(I132*'Start Page'!$F$33,2)*80)+(ROUND(I134*'Start Page'!$F$33,2)*($B$15-80))</f>
        <v>0</v>
      </c>
      <c r="J137" s="17">
        <f>(ROUND(J132*'Start Page'!$F$33,2)*80)+(ROUND(J134*'Start Page'!$F$33,2)*($B$15-80))</f>
        <v>0</v>
      </c>
      <c r="K137" s="17">
        <f>(ROUND(K132*'Start Page'!$F$33,2)*80)+(ROUND(K134*'Start Page'!$F$33,2)*($B$15-80))</f>
        <v>0</v>
      </c>
      <c r="L137" s="17">
        <f>(ROUND(L132*'Start Page'!$F$33,2)*80)+(ROUND(L134*'Start Page'!$F$33,2)*($B$15-80))</f>
        <v>0</v>
      </c>
      <c r="M137" s="17">
        <f>(ROUND(M132*'Start Page'!$F$33,2)*80)+(ROUND(M134*'Start Page'!$F$33,2)*($B$15-80))</f>
        <v>0</v>
      </c>
    </row>
    <row r="138" spans="1:13" x14ac:dyDescent="0.2">
      <c r="A138" s="13"/>
      <c r="B138" s="13">
        <f>B131+B133+B135</f>
        <v>120</v>
      </c>
      <c r="C138" s="20" t="s">
        <v>17</v>
      </c>
      <c r="D138" s="34">
        <f t="shared" ref="D138:M138" si="83">D131+D133+D135+D137</f>
        <v>5144.32</v>
      </c>
      <c r="E138" s="34">
        <f t="shared" si="83"/>
        <v>5297.9400000000005</v>
      </c>
      <c r="F138" s="34">
        <f t="shared" si="83"/>
        <v>5452.3600000000006</v>
      </c>
      <c r="G138" s="34">
        <f t="shared" si="83"/>
        <v>5620.4000000000005</v>
      </c>
      <c r="H138" s="34">
        <f t="shared" si="83"/>
        <v>5791.2000000000007</v>
      </c>
      <c r="I138" s="34">
        <f t="shared" si="83"/>
        <v>5961.2000000000007</v>
      </c>
      <c r="J138" s="34">
        <f t="shared" si="83"/>
        <v>6132</v>
      </c>
      <c r="K138" s="34">
        <f t="shared" si="83"/>
        <v>6301.9999999999991</v>
      </c>
      <c r="L138" s="34">
        <f t="shared" si="83"/>
        <v>6472</v>
      </c>
      <c r="M138" s="34">
        <f t="shared" si="83"/>
        <v>6642.7999999999993</v>
      </c>
    </row>
    <row r="139" spans="1:13" x14ac:dyDescent="0.2">
      <c r="A139" s="13"/>
      <c r="B139" s="13"/>
      <c r="C139" s="20" t="s">
        <v>33</v>
      </c>
      <c r="D139" s="34">
        <f>D138*'Start Page'!$C$41</f>
        <v>133752.32000000001</v>
      </c>
      <c r="E139" s="34">
        <f>E138*'Start Page'!$C$41</f>
        <v>137746.44</v>
      </c>
      <c r="F139" s="34">
        <f>F138*'Start Page'!$C$41</f>
        <v>141761.36000000002</v>
      </c>
      <c r="G139" s="34">
        <f>G138*'Start Page'!$C$41</f>
        <v>146130.40000000002</v>
      </c>
      <c r="H139" s="34">
        <f>H138*'Start Page'!$C$41</f>
        <v>150571.20000000001</v>
      </c>
      <c r="I139" s="34">
        <f>I138*'Start Page'!$C$41</f>
        <v>154991.20000000001</v>
      </c>
      <c r="J139" s="34">
        <f>J138*'Start Page'!$C$41</f>
        <v>159432</v>
      </c>
      <c r="K139" s="34">
        <f>K138*'Start Page'!$C$41</f>
        <v>163851.99999999997</v>
      </c>
      <c r="L139" s="34">
        <f>L138*'Start Page'!$C$41</f>
        <v>168272</v>
      </c>
      <c r="M139" s="34">
        <f>M138*'Start Page'!$C$41</f>
        <v>172712.8</v>
      </c>
    </row>
    <row r="140" spans="1:13" s="36" customFormat="1" x14ac:dyDescent="0.2">
      <c r="A140" s="22"/>
      <c r="B140" s="22"/>
      <c r="C140" s="23" t="s">
        <v>105</v>
      </c>
      <c r="D140" s="35">
        <f>((D132*80)+(D134*($B$15-80)))*'Start Page'!$C$41</f>
        <v>132849.59999999998</v>
      </c>
      <c r="E140" s="35">
        <f>((E132*80)+(E134*($B$15-80)))*'Start Page'!$C$41</f>
        <v>137269.6</v>
      </c>
      <c r="F140" s="35">
        <f>((F132*80)+(F134*($B$15-80)))*'Start Page'!$C$41</f>
        <v>141710.40000000002</v>
      </c>
      <c r="G140" s="35">
        <f>((G132*80)+(G134*($B$15-80)))*'Start Page'!$C$41</f>
        <v>146130.40000000002</v>
      </c>
      <c r="H140" s="35">
        <f>((H132*80)+(H134*($B$15-80)))*'Start Page'!$C$41</f>
        <v>150571.19999999998</v>
      </c>
      <c r="I140" s="35">
        <f>((I132*80)+(I134*($B$15-80)))*'Start Page'!$C$41</f>
        <v>154991.19999999998</v>
      </c>
      <c r="J140" s="35">
        <f>((J132*80)+(J134*($B$15-80)))*'Start Page'!$C$41</f>
        <v>159432</v>
      </c>
      <c r="K140" s="35">
        <f>((K132*80)+(K134*($B$15-80)))*'Start Page'!$C$41</f>
        <v>163852</v>
      </c>
      <c r="L140" s="35">
        <f>((L132*80)+(L134*($B$15-80)))*'Start Page'!$C$41</f>
        <v>168272</v>
      </c>
      <c r="M140" s="124">
        <f>((M132*80)+(M134*($B$15-80)))*'Start Page'!$C$41</f>
        <v>172712.8</v>
      </c>
    </row>
    <row r="141" spans="1:13" x14ac:dyDescent="0.2">
      <c r="A141" s="7"/>
      <c r="B141" s="7"/>
      <c r="C141" s="7"/>
      <c r="D141" s="7"/>
      <c r="E141" s="7"/>
      <c r="F141" s="7"/>
      <c r="G141" s="7"/>
      <c r="H141" s="7"/>
      <c r="I141" s="7"/>
      <c r="J141" s="7"/>
      <c r="K141" s="7"/>
      <c r="L141" s="7"/>
      <c r="M141" s="27"/>
    </row>
    <row r="142" spans="1:13" x14ac:dyDescent="0.2">
      <c r="A142" s="7"/>
      <c r="B142" s="7"/>
      <c r="C142" s="7"/>
      <c r="D142" s="7"/>
      <c r="E142" s="7"/>
      <c r="F142" s="7"/>
      <c r="G142" s="7"/>
      <c r="H142" s="7"/>
      <c r="I142" s="7"/>
      <c r="J142" s="7"/>
      <c r="K142" s="7"/>
      <c r="L142" s="7"/>
      <c r="M142" s="7"/>
    </row>
    <row r="143" spans="1:13" x14ac:dyDescent="0.2">
      <c r="A143" s="28" t="s">
        <v>109</v>
      </c>
      <c r="B143" s="28"/>
      <c r="C143" s="7"/>
      <c r="D143" s="7"/>
      <c r="E143" s="7"/>
      <c r="F143" s="7"/>
      <c r="G143" s="7"/>
      <c r="H143" s="7"/>
      <c r="I143" s="7"/>
      <c r="J143" s="7"/>
      <c r="K143" s="7"/>
      <c r="L143" s="7"/>
      <c r="M143" s="7"/>
    </row>
    <row r="144" spans="1:13" x14ac:dyDescent="0.2">
      <c r="A144" s="28" t="s">
        <v>106</v>
      </c>
      <c r="B144" s="29"/>
      <c r="C144" s="7"/>
      <c r="D144" s="7"/>
      <c r="E144" s="7"/>
      <c r="F144" s="7"/>
      <c r="G144" s="7"/>
      <c r="H144" s="7"/>
      <c r="I144" s="7"/>
      <c r="J144" s="7"/>
      <c r="K144" s="7"/>
      <c r="L144" s="7"/>
      <c r="M144" s="7"/>
    </row>
    <row r="145" spans="1:13" x14ac:dyDescent="0.2">
      <c r="A145" s="28"/>
      <c r="B145" s="29"/>
      <c r="C145" s="7"/>
      <c r="D145" s="7"/>
      <c r="E145" s="7"/>
      <c r="F145" s="7"/>
      <c r="G145" s="7"/>
      <c r="H145" s="7"/>
      <c r="I145" s="7"/>
      <c r="J145" s="7"/>
      <c r="K145" s="7"/>
      <c r="L145" s="7"/>
      <c r="M145" s="7"/>
    </row>
    <row r="146" spans="1:13" x14ac:dyDescent="0.2">
      <c r="A146" s="28" t="s">
        <v>107</v>
      </c>
      <c r="E146" s="38"/>
      <c r="G146" s="40"/>
    </row>
    <row r="147" spans="1:13" x14ac:dyDescent="0.2">
      <c r="A147" s="28" t="s">
        <v>108</v>
      </c>
      <c r="E147" s="38"/>
      <c r="G147" s="40"/>
    </row>
    <row r="148" spans="1:13" x14ac:dyDescent="0.2">
      <c r="A148" s="29" t="s">
        <v>19</v>
      </c>
      <c r="B148" s="29"/>
      <c r="C148" s="7"/>
      <c r="D148" s="7"/>
      <c r="E148" s="7"/>
      <c r="F148" s="7"/>
      <c r="G148" s="7"/>
      <c r="H148" s="7"/>
      <c r="I148" s="7"/>
      <c r="J148" s="7"/>
      <c r="K148" s="7"/>
      <c r="L148" s="7"/>
      <c r="M148" s="7"/>
    </row>
    <row r="149" spans="1:13" x14ac:dyDescent="0.2">
      <c r="A149" s="28" t="s">
        <v>32</v>
      </c>
      <c r="B149" s="28"/>
      <c r="C149" s="7"/>
      <c r="D149" s="7"/>
      <c r="E149" s="7"/>
      <c r="F149" s="7"/>
      <c r="G149" s="30">
        <f>ROUND(ROUND(D85/2087,2)*1.5,2)</f>
        <v>37.56</v>
      </c>
      <c r="I149" s="7"/>
      <c r="J149" s="7"/>
      <c r="K149" s="7"/>
      <c r="L149" s="7"/>
      <c r="M149" s="7"/>
    </row>
    <row r="150" spans="1:13" x14ac:dyDescent="0.2">
      <c r="A150" s="29"/>
      <c r="B150" s="29"/>
      <c r="C150" s="7"/>
      <c r="D150" s="7"/>
      <c r="E150" s="7"/>
      <c r="F150" s="7"/>
      <c r="G150" s="7"/>
      <c r="H150" s="7"/>
      <c r="I150" s="7"/>
      <c r="J150" s="7"/>
      <c r="K150" s="7"/>
      <c r="L150" s="7"/>
      <c r="M150" s="7"/>
    </row>
    <row r="151" spans="1:13" x14ac:dyDescent="0.2">
      <c r="A151" s="28" t="s">
        <v>36</v>
      </c>
      <c r="B151" s="28"/>
      <c r="C151" s="7"/>
      <c r="D151" s="7"/>
      <c r="E151" s="7"/>
      <c r="F151" s="7"/>
      <c r="G151" s="7"/>
      <c r="H151" s="7"/>
      <c r="I151" s="7"/>
      <c r="J151" s="7"/>
      <c r="K151" s="7"/>
      <c r="L151" s="7"/>
      <c r="M151" s="7"/>
    </row>
  </sheetData>
  <sheetProtection password="CCE4" sheet="1" objects="1" scenarios="1"/>
  <mergeCells count="2">
    <mergeCell ref="F4:I4"/>
    <mergeCell ref="G5:H5"/>
  </mergeCells>
  <phoneticPr fontId="0" type="noConversion"/>
  <hyperlinks>
    <hyperlink ref="G5:H5" location="'Start Page'!C4"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1:O26"/>
  <sheetViews>
    <sheetView showGridLines="0" workbookViewId="0">
      <selection activeCell="H26" sqref="H26:I26"/>
    </sheetView>
  </sheetViews>
  <sheetFormatPr defaultRowHeight="12.75" x14ac:dyDescent="0.2"/>
  <sheetData>
    <row r="21" spans="3:15" ht="30" x14ac:dyDescent="0.4">
      <c r="C21" s="206" t="s">
        <v>137</v>
      </c>
      <c r="D21" s="206"/>
      <c r="E21" s="206"/>
      <c r="F21" s="206"/>
      <c r="G21" s="206"/>
      <c r="I21" s="206" t="s">
        <v>138</v>
      </c>
      <c r="J21" s="206"/>
      <c r="K21" s="206"/>
      <c r="L21" s="206"/>
      <c r="M21" s="206"/>
      <c r="N21" s="206"/>
      <c r="O21" s="206"/>
    </row>
    <row r="26" spans="3:15" x14ac:dyDescent="0.2">
      <c r="H26" s="207" t="s">
        <v>135</v>
      </c>
      <c r="I26" s="207"/>
    </row>
  </sheetData>
  <sheetProtection password="CCE4" sheet="1"/>
  <mergeCells count="3">
    <mergeCell ref="C21:G21"/>
    <mergeCell ref="I21:O21"/>
    <mergeCell ref="H26:I26"/>
  </mergeCells>
  <phoneticPr fontId="0" type="noConversion"/>
  <hyperlinks>
    <hyperlink ref="C21:G21" location="'Shift Firefighters'!G5" display="Shift Firefighters" xr:uid="{00000000-0004-0000-0800-000000000000}"/>
    <hyperlink ref="I21:O21" location="'Chief, Training, Inspectors'!G5" display="Chief / Training / Inspectors" xr:uid="{00000000-0004-0000-0800-000001000000}"/>
    <hyperlink ref="H26:I26" location="'Start Page'!C4" display="Return to Start Page" xr:uid="{00000000-0004-0000-0800-000002000000}"/>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40</vt:i4>
      </vt:variant>
    </vt:vector>
  </HeadingPairs>
  <TitlesOfParts>
    <vt:vector size="49"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Payperiods</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2011-12-25T23:27:33Z</cp:lastPrinted>
  <dcterms:created xsi:type="dcterms:W3CDTF">1999-02-27T03:27:03Z</dcterms:created>
  <dcterms:modified xsi:type="dcterms:W3CDTF">2019-09-25T23:14:54Z</dcterms:modified>
</cp:coreProperties>
</file>